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queryTables/queryTable1.xml" ContentType="application/vnd.openxmlformats-officedocument.spreadsheetml.query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grapewine.sharepoint.com/sites/MarketInsights2/Shared Documents/Dashboards and tools/FOB to retail calculator/"/>
    </mc:Choice>
  </mc:AlternateContent>
  <xr:revisionPtr revIDLastSave="15" documentId="8_{455E9440-3A14-44F5-BDC9-62B0106EA4B7}" xr6:coauthVersionLast="47" xr6:coauthVersionMax="47" xr10:uidLastSave="{ABD6BC00-3883-4F65-A281-4E3B18570C00}"/>
  <bookViews>
    <workbookView xWindow="-110" yWindow="-110" windowWidth="19420" windowHeight="10420" firstSheet="11" activeTab="11" xr2:uid="{EB26D97C-40AF-104F-B688-47E076955BF2}"/>
  </bookViews>
  <sheets>
    <sheet name="Home" sheetId="4" state="hidden" r:id="rId1"/>
    <sheet name="Reputation &amp; Awareness" sheetId="54" state="hidden" r:id="rId2"/>
    <sheet name="Shipment Cost Schedule" sheetId="13" state="hidden" r:id="rId3"/>
    <sheet name="Competitor Set Evaluation" sheetId="14" state="hidden" r:id="rId4"/>
    <sheet name="HKD XR data" sheetId="32" state="hidden" r:id="rId5"/>
    <sheet name="Sales Plan" sheetId="12" state="hidden" r:id="rId6"/>
    <sheet name="Net Revenue" sheetId="34" state="hidden" r:id="rId7"/>
    <sheet name="Risk Matrix" sheetId="33" state="hidden" r:id="rId8"/>
    <sheet name="FOB Price Detail" sheetId="1" state="hidden" r:id="rId9"/>
    <sheet name="Print Wine Offer" sheetId="31" state="hidden" r:id="rId10"/>
    <sheet name="1 GEN" sheetId="36" state="hidden" r:id="rId11"/>
    <sheet name="1 USA" sheetId="44" r:id="rId12"/>
    <sheet name="2 UK" sheetId="43" r:id="rId13"/>
    <sheet name="3 EU" sheetId="61" r:id="rId14"/>
    <sheet name="4 NZ" sheetId="69" r:id="rId15"/>
    <sheet name="5 China" sheetId="40" r:id="rId16"/>
    <sheet name="6 HK" sheetId="41" r:id="rId17"/>
    <sheet name="7 SING" sheetId="42" r:id="rId18"/>
    <sheet name="8 JAP" sheetId="58" r:id="rId19"/>
    <sheet name="9 SK" sheetId="59" r:id="rId20"/>
    <sheet name="10 TAI" sheetId="64" r:id="rId21"/>
    <sheet name="11 THAI" sheetId="70" r:id="rId22"/>
    <sheet name="12 VIET" sheetId="71" r:id="rId23"/>
    <sheet name="13 INDIA" sheetId="60" r:id="rId24"/>
    <sheet name="11 LCBO" sheetId="50" state="hidden" r:id="rId25"/>
    <sheet name="14 LCBO" sheetId="65" r:id="rId26"/>
    <sheet name="Reference (2)" sheetId="66" state="hidden" r:id="rId27"/>
    <sheet name="DUTY" sheetId="67" state="hidden" r:id="rId28"/>
    <sheet name="South Korea OLD" sheetId="57" state="hidden" r:id="rId29"/>
    <sheet name="Data" sheetId="6" state="hidden" r:id="rId30"/>
    <sheet name="FOB Data" sheetId="37" state="hidden" r:id="rId31"/>
    <sheet name="FOB Data 2" sheetId="38" state="hidden" r:id="rId32"/>
    <sheet name="12 SWE" sheetId="63" state="hidden" r:id="rId33"/>
    <sheet name="15 Nord" sheetId="49" r:id="rId34"/>
    <sheet name="Ex. Rate Calc" sheetId="55" r:id="rId35"/>
    <sheet name="Exchange Rate data" sheetId="39" state="hidden" r:id="rId36"/>
    <sheet name="EU rates" sheetId="62" state="hidden" r:id="rId37"/>
  </sheets>
  <definedNames>
    <definedName name="DME_ODMALinks1">"::ODMA\DME-MSE\AWBC-181167=C:\DOCUME~1\MARK~1.ROW\LOCALS~1\Temp\Dme\AWBC-181167.xls"</definedName>
    <definedName name="DME_ODMALinksCount">"1"</definedName>
    <definedName name="Exchange_rate_data" localSheetId="35">'Exchange Rate data'!$C$4:$E$67</definedName>
    <definedName name="HDK_data" localSheetId="4">'HKD XR data'!$B$5:$D$68</definedName>
    <definedName name="_xlnm.Print_Area" localSheetId="20">'10 TAI'!$B$2:$D$27</definedName>
    <definedName name="_xlnm.Print_Area" localSheetId="24">'11 LCBO'!$B$2:$K$61</definedName>
    <definedName name="_xlnm.Print_Area" localSheetId="21">'11 THAI'!$B$2:$D$31</definedName>
    <definedName name="_xlnm.Print_Area" localSheetId="22">'12 VIET'!$B$2:$D$26</definedName>
    <definedName name="_xlnm.Print_Area" localSheetId="25">'14 LCBO'!$A$1:$J$59</definedName>
    <definedName name="_xlnm.Print_Area" localSheetId="15">'5 China'!$B$2:$D$31</definedName>
    <definedName name="_xlnm.Print_Area" localSheetId="18">'8 JAP'!$B$2:$D$28</definedName>
    <definedName name="_xlnm.Print_Area" localSheetId="19">'9 SK'!$B$2:$D$31</definedName>
    <definedName name="_xlnm.Print_Area" localSheetId="9">'Print Wine Offer'!$B$9:$L$16</definedName>
    <definedName name="_xlnm.Print_Area" localSheetId="28">'South Korea OLD'!$B$1:$I$21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44" l="1"/>
  <c r="C10" i="44"/>
  <c r="C8" i="44"/>
  <c r="C12" i="64" l="1"/>
  <c r="C13" i="58"/>
  <c r="C7" i="71" l="1"/>
  <c r="C9" i="71" s="1"/>
  <c r="C10" i="71" l="1"/>
  <c r="C11" i="71" s="1"/>
  <c r="C12" i="71" s="1"/>
  <c r="C13" i="71" s="1"/>
  <c r="C16" i="71" l="1"/>
  <c r="C17" i="71" s="1"/>
  <c r="C19" i="71" s="1"/>
  <c r="C14" i="71"/>
  <c r="C10" i="69" l="1"/>
  <c r="C11" i="43"/>
  <c r="C13" i="70"/>
  <c r="C12" i="70"/>
  <c r="C14" i="70" s="1"/>
  <c r="C6" i="70"/>
  <c r="C7" i="70" s="1"/>
  <c r="C9" i="70" s="1"/>
  <c r="C12" i="69"/>
  <c r="C10" i="42"/>
  <c r="C6" i="69"/>
  <c r="C7" i="69" s="1"/>
  <c r="C13" i="69" s="1"/>
  <c r="C15" i="69" s="1"/>
  <c r="C16" i="69" s="1"/>
  <c r="C18" i="69" s="1"/>
  <c r="C19" i="69" s="1"/>
  <c r="C6" i="60"/>
  <c r="C7" i="60" s="1"/>
  <c r="C14" i="60"/>
  <c r="C11" i="58"/>
  <c r="G10" i="65"/>
  <c r="C33" i="65"/>
  <c r="G8" i="65"/>
  <c r="C24" i="65"/>
  <c r="C12" i="65"/>
  <c r="C22" i="65" s="1"/>
  <c r="E71" i="67"/>
  <c r="E70" i="67"/>
  <c r="E69" i="67"/>
  <c r="E68" i="67"/>
  <c r="E67" i="67"/>
  <c r="E66" i="67"/>
  <c r="E65" i="67"/>
  <c r="E64" i="67"/>
  <c r="E63" i="67"/>
  <c r="E62" i="67"/>
  <c r="E61" i="67"/>
  <c r="E60" i="67"/>
  <c r="E59" i="67"/>
  <c r="E58" i="67"/>
  <c r="E57" i="67"/>
  <c r="E56" i="67"/>
  <c r="E55" i="67"/>
  <c r="E54" i="67"/>
  <c r="E53" i="67"/>
  <c r="E52" i="67"/>
  <c r="E51" i="67"/>
  <c r="E50" i="67"/>
  <c r="E49" i="67"/>
  <c r="E48" i="67"/>
  <c r="E47" i="67"/>
  <c r="E46" i="67"/>
  <c r="E45" i="67"/>
  <c r="E44" i="67"/>
  <c r="E43" i="67"/>
  <c r="E42" i="67"/>
  <c r="E41" i="67"/>
  <c r="E40" i="67"/>
  <c r="E39" i="67"/>
  <c r="E38" i="67"/>
  <c r="E37" i="67"/>
  <c r="E36" i="67"/>
  <c r="E35" i="67"/>
  <c r="E34" i="67"/>
  <c r="E33" i="67"/>
  <c r="E32" i="67"/>
  <c r="E31" i="67"/>
  <c r="E30" i="67"/>
  <c r="E29" i="67"/>
  <c r="E28" i="67"/>
  <c r="E27" i="67"/>
  <c r="E26" i="67"/>
  <c r="E25" i="67"/>
  <c r="E24" i="67"/>
  <c r="E23" i="67"/>
  <c r="E22" i="67"/>
  <c r="E21" i="67"/>
  <c r="E20" i="67"/>
  <c r="E19" i="67"/>
  <c r="E18" i="67"/>
  <c r="E17" i="67"/>
  <c r="E16" i="67"/>
  <c r="E15" i="67"/>
  <c r="E14" i="67"/>
  <c r="E13" i="67"/>
  <c r="E12" i="67"/>
  <c r="E11" i="67"/>
  <c r="E10" i="67"/>
  <c r="E9" i="67"/>
  <c r="F8" i="67"/>
  <c r="E8" i="67"/>
  <c r="E7" i="67"/>
  <c r="E6" i="67"/>
  <c r="E5" i="67"/>
  <c r="E4" i="67"/>
  <c r="E3" i="67"/>
  <c r="E2" i="67"/>
  <c r="A165" i="65"/>
  <c r="A163" i="65"/>
  <c r="A161" i="65"/>
  <c r="A159" i="65"/>
  <c r="A157" i="65"/>
  <c r="A155" i="65"/>
  <c r="A168" i="65"/>
  <c r="A151" i="65"/>
  <c r="F25" i="67"/>
  <c r="B126" i="65"/>
  <c r="A107" i="65"/>
  <c r="F23" i="67"/>
  <c r="C34" i="65"/>
  <c r="C32" i="65"/>
  <c r="C25" i="65"/>
  <c r="G16" i="65"/>
  <c r="C49" i="65"/>
  <c r="F27" i="65"/>
  <c r="G13" i="65"/>
  <c r="G11" i="65"/>
  <c r="C28" i="65"/>
  <c r="K9" i="65"/>
  <c r="G9" i="65"/>
  <c r="C23" i="65"/>
  <c r="F58" i="67"/>
  <c r="C41" i="65"/>
  <c r="F2" i="67"/>
  <c r="F9" i="67"/>
  <c r="F4" i="67"/>
  <c r="F16" i="67"/>
  <c r="F60" i="67"/>
  <c r="F11" i="67"/>
  <c r="F18" i="67"/>
  <c r="C6" i="64"/>
  <c r="C7" i="64" s="1"/>
  <c r="C9" i="64" s="1"/>
  <c r="C10" i="64" s="1"/>
  <c r="C6" i="63"/>
  <c r="C7" i="63" s="1"/>
  <c r="C11" i="63" s="1"/>
  <c r="C13" i="63" s="1"/>
  <c r="C14" i="63" s="1"/>
  <c r="C16" i="63" s="1"/>
  <c r="C11" i="61"/>
  <c r="C18" i="61"/>
  <c r="C7" i="61"/>
  <c r="C8" i="61" s="1"/>
  <c r="E18" i="62"/>
  <c r="E28" i="62"/>
  <c r="E27" i="62"/>
  <c r="E26" i="62"/>
  <c r="E25" i="62"/>
  <c r="E24" i="62"/>
  <c r="E23" i="62"/>
  <c r="E22" i="62"/>
  <c r="E21" i="62"/>
  <c r="E20" i="62"/>
  <c r="E19" i="62"/>
  <c r="E17" i="62"/>
  <c r="E16" i="62"/>
  <c r="E15" i="62"/>
  <c r="E14" i="62"/>
  <c r="E13" i="62"/>
  <c r="E12" i="62"/>
  <c r="E11" i="62"/>
  <c r="E10" i="62"/>
  <c r="E9" i="62"/>
  <c r="C14" i="36"/>
  <c r="F14" i="36" s="1"/>
  <c r="G14" i="36" s="1"/>
  <c r="I14" i="36" s="1"/>
  <c r="C12" i="36"/>
  <c r="F12" i="36" s="1"/>
  <c r="G12" i="36" s="1"/>
  <c r="I12" i="36" s="1"/>
  <c r="C6" i="59"/>
  <c r="C7" i="59" s="1"/>
  <c r="C9" i="59" s="1"/>
  <c r="C11" i="59" s="1"/>
  <c r="C12" i="59" s="1"/>
  <c r="C6" i="41"/>
  <c r="C7" i="41" s="1"/>
  <c r="C9" i="41" s="1"/>
  <c r="C11" i="41" s="1"/>
  <c r="C12" i="41" s="1"/>
  <c r="C14" i="41" s="1"/>
  <c r="C6" i="58"/>
  <c r="C7" i="58" s="1"/>
  <c r="C9" i="58" s="1"/>
  <c r="C6" i="44"/>
  <c r="C7" i="44" s="1"/>
  <c r="C6" i="43"/>
  <c r="C7" i="43" s="1"/>
  <c r="C6" i="42"/>
  <c r="C8" i="42" s="1"/>
  <c r="C11" i="42" s="1"/>
  <c r="C13" i="42" s="1"/>
  <c r="C14" i="42" s="1"/>
  <c r="C16" i="42" s="1"/>
  <c r="C17" i="42" s="1"/>
  <c r="C6" i="40"/>
  <c r="C7" i="40" s="1"/>
  <c r="C9" i="40" s="1"/>
  <c r="D18" i="57"/>
  <c r="K17" i="57"/>
  <c r="E15" i="57"/>
  <c r="E14" i="57"/>
  <c r="E13" i="57"/>
  <c r="E11" i="57"/>
  <c r="E8" i="57"/>
  <c r="E5" i="57"/>
  <c r="D16" i="57"/>
  <c r="D12" i="57"/>
  <c r="D10" i="57"/>
  <c r="D7" i="57"/>
  <c r="E17" i="57"/>
  <c r="K9" i="55"/>
  <c r="K10" i="55"/>
  <c r="K24" i="55"/>
  <c r="K25" i="55"/>
  <c r="J25" i="55"/>
  <c r="J24" i="55"/>
  <c r="K16" i="55"/>
  <c r="K12" i="55"/>
  <c r="K14" i="55"/>
  <c r="K22" i="55"/>
  <c r="K20" i="55"/>
  <c r="K18" i="55"/>
  <c r="J20" i="55"/>
  <c r="L17" i="55"/>
  <c r="K23" i="55"/>
  <c r="L23" i="55"/>
  <c r="K13" i="55"/>
  <c r="L13" i="55"/>
  <c r="L21" i="57"/>
  <c r="D9" i="57"/>
  <c r="E9" i="57"/>
  <c r="K21" i="55"/>
  <c r="L21" i="55"/>
  <c r="K11" i="55"/>
  <c r="L11" i="55"/>
  <c r="K15" i="55"/>
  <c r="K19" i="55"/>
  <c r="D4" i="57"/>
  <c r="L23" i="57"/>
  <c r="L24" i="57"/>
  <c r="L19" i="55"/>
  <c r="L25" i="55"/>
  <c r="L24" i="55"/>
  <c r="L15" i="55"/>
  <c r="L10" i="55"/>
  <c r="L9" i="55"/>
  <c r="C11" i="31"/>
  <c r="H17" i="57"/>
  <c r="G16" i="57"/>
  <c r="G17" i="57"/>
  <c r="G11" i="57"/>
  <c r="D3" i="57"/>
  <c r="E3" i="57"/>
  <c r="E4" i="57"/>
  <c r="H10" i="57"/>
  <c r="H13" i="57"/>
  <c r="D6" i="57"/>
  <c r="E6" i="57"/>
  <c r="H18" i="57"/>
  <c r="H15" i="57"/>
  <c r="H11" i="57"/>
  <c r="G12" i="57"/>
  <c r="H14" i="57"/>
  <c r="G8" i="57"/>
  <c r="G14" i="57"/>
  <c r="G10" i="57"/>
  <c r="G13" i="57"/>
  <c r="H16" i="57"/>
  <c r="H12" i="57"/>
  <c r="K20" i="57"/>
  <c r="G18" i="57"/>
  <c r="G15" i="57"/>
  <c r="H8" i="57"/>
  <c r="F238" i="1"/>
  <c r="F235" i="1"/>
  <c r="F234" i="1"/>
  <c r="F231" i="1"/>
  <c r="F228" i="1"/>
  <c r="F227" i="1"/>
  <c r="F226" i="1"/>
  <c r="F225" i="1"/>
  <c r="F224" i="1"/>
  <c r="F223" i="1"/>
  <c r="F219" i="1"/>
  <c r="F218" i="1"/>
  <c r="F217" i="1"/>
  <c r="F214" i="1"/>
  <c r="F213" i="1"/>
  <c r="F212" i="1"/>
  <c r="F211" i="1"/>
  <c r="F210" i="1"/>
  <c r="F209" i="1"/>
  <c r="F208" i="1"/>
  <c r="F207" i="1"/>
  <c r="F206" i="1"/>
  <c r="F205" i="1"/>
  <c r="F204" i="1"/>
  <c r="F203" i="1"/>
  <c r="F202" i="1"/>
  <c r="F192" i="1"/>
  <c r="F189" i="1"/>
  <c r="F188" i="1"/>
  <c r="F185" i="1"/>
  <c r="F182" i="1"/>
  <c r="F181" i="1"/>
  <c r="F180" i="1"/>
  <c r="F179" i="1"/>
  <c r="F178" i="1"/>
  <c r="F177" i="1"/>
  <c r="F173" i="1"/>
  <c r="F172" i="1"/>
  <c r="F171" i="1"/>
  <c r="F168" i="1"/>
  <c r="F167" i="1"/>
  <c r="F166" i="1"/>
  <c r="F165" i="1"/>
  <c r="F164" i="1"/>
  <c r="F163" i="1"/>
  <c r="F162" i="1"/>
  <c r="F161" i="1"/>
  <c r="F160" i="1"/>
  <c r="F159" i="1"/>
  <c r="F158" i="1"/>
  <c r="F157" i="1"/>
  <c r="F156" i="1"/>
  <c r="F146" i="1"/>
  <c r="F143" i="1"/>
  <c r="F142" i="1"/>
  <c r="F139" i="1"/>
  <c r="F136" i="1"/>
  <c r="F135" i="1"/>
  <c r="F134" i="1"/>
  <c r="F133" i="1"/>
  <c r="F132" i="1"/>
  <c r="F131" i="1"/>
  <c r="F127" i="1"/>
  <c r="F126" i="1"/>
  <c r="F125" i="1"/>
  <c r="F122" i="1"/>
  <c r="F121" i="1"/>
  <c r="F120" i="1"/>
  <c r="F119" i="1"/>
  <c r="F118" i="1"/>
  <c r="F117" i="1"/>
  <c r="F116" i="1"/>
  <c r="F115" i="1"/>
  <c r="F114" i="1"/>
  <c r="F113" i="1"/>
  <c r="F112" i="1"/>
  <c r="F111" i="1"/>
  <c r="F110" i="1"/>
  <c r="F100" i="1"/>
  <c r="F97" i="1"/>
  <c r="F96" i="1"/>
  <c r="F93" i="1"/>
  <c r="F90" i="1"/>
  <c r="F89" i="1"/>
  <c r="F88" i="1"/>
  <c r="F87" i="1"/>
  <c r="F86" i="1"/>
  <c r="F85" i="1"/>
  <c r="F81" i="1"/>
  <c r="F80" i="1"/>
  <c r="F79" i="1"/>
  <c r="F76" i="1"/>
  <c r="F75" i="1"/>
  <c r="F74" i="1"/>
  <c r="F73" i="1"/>
  <c r="F72" i="1"/>
  <c r="F71" i="1"/>
  <c r="F70" i="1"/>
  <c r="F69" i="1"/>
  <c r="F68" i="1"/>
  <c r="F67" i="1"/>
  <c r="F66" i="1"/>
  <c r="F65" i="1"/>
  <c r="F64" i="1"/>
  <c r="F51" i="1"/>
  <c r="F44" i="1"/>
  <c r="F43" i="1"/>
  <c r="F30" i="1"/>
  <c r="E7" i="57"/>
  <c r="E10" i="57"/>
  <c r="E12" i="57"/>
  <c r="E16" i="57"/>
  <c r="E18" i="57"/>
  <c r="E20" i="57"/>
  <c r="F20" i="57"/>
  <c r="B21" i="4"/>
  <c r="C21" i="4"/>
  <c r="D21" i="4"/>
  <c r="J20" i="54"/>
  <c r="E18" i="54"/>
  <c r="B4" i="54"/>
  <c r="H5" i="13"/>
  <c r="H7" i="13"/>
  <c r="H6" i="13"/>
  <c r="H203" i="1"/>
  <c r="H111" i="1"/>
  <c r="H157" i="1"/>
  <c r="H65" i="1"/>
  <c r="H158" i="1"/>
  <c r="H66" i="1"/>
  <c r="H204" i="1"/>
  <c r="H112" i="1"/>
  <c r="H156" i="1"/>
  <c r="H64" i="1"/>
  <c r="H202" i="1"/>
  <c r="H110" i="1"/>
  <c r="G15" i="34"/>
  <c r="H15" i="34"/>
  <c r="E36" i="12"/>
  <c r="D36" i="12"/>
  <c r="C36" i="12"/>
  <c r="B36" i="12"/>
  <c r="E30" i="12"/>
  <c r="D30" i="12"/>
  <c r="C30" i="12"/>
  <c r="B30" i="12"/>
  <c r="E24" i="12"/>
  <c r="D24" i="12"/>
  <c r="C24" i="12"/>
  <c r="B24" i="12"/>
  <c r="E18" i="12"/>
  <c r="B18" i="12"/>
  <c r="C18" i="12"/>
  <c r="D18" i="12"/>
  <c r="B12" i="12"/>
  <c r="C12" i="12"/>
  <c r="D12" i="12"/>
  <c r="I48" i="50"/>
  <c r="F36" i="50"/>
  <c r="F34" i="50"/>
  <c r="F27" i="50"/>
  <c r="F26" i="50"/>
  <c r="F25" i="50"/>
  <c r="F24" i="50"/>
  <c r="H19" i="50"/>
  <c r="F51" i="50"/>
  <c r="I32" i="50"/>
  <c r="H16" i="50"/>
  <c r="H15" i="50"/>
  <c r="F35" i="50"/>
  <c r="H13" i="50"/>
  <c r="F30" i="50"/>
  <c r="B11" i="50"/>
  <c r="F43" i="50"/>
  <c r="F28" i="50"/>
  <c r="F29" i="50"/>
  <c r="F31" i="50"/>
  <c r="F33" i="50"/>
  <c r="F37" i="50"/>
  <c r="F71" i="50"/>
  <c r="F38" i="50"/>
  <c r="F39" i="50"/>
  <c r="F68" i="50"/>
  <c r="F67" i="50"/>
  <c r="F66" i="50"/>
  <c r="F60" i="50"/>
  <c r="F49" i="50"/>
  <c r="F53" i="50"/>
  <c r="F48" i="50"/>
  <c r="F47" i="50"/>
  <c r="G58" i="50"/>
  <c r="F42" i="50"/>
  <c r="F56" i="50"/>
  <c r="F57" i="50"/>
  <c r="I27" i="50"/>
  <c r="F55" i="50"/>
  <c r="F44" i="50"/>
  <c r="I28" i="50"/>
  <c r="I29" i="50"/>
  <c r="I30" i="50"/>
  <c r="I31" i="50"/>
  <c r="I33" i="50"/>
  <c r="N12" i="4"/>
  <c r="F22" i="4"/>
  <c r="N13" i="4"/>
  <c r="F23" i="4"/>
  <c r="N14" i="4"/>
  <c r="F24" i="4"/>
  <c r="N15" i="4"/>
  <c r="F25" i="4"/>
  <c r="L40" i="12"/>
  <c r="L34" i="12"/>
  <c r="L28" i="12"/>
  <c r="L22" i="12"/>
  <c r="L16" i="12"/>
  <c r="D4" i="14"/>
  <c r="E4" i="14"/>
  <c r="C4" i="14"/>
  <c r="H241" i="1"/>
  <c r="H240" i="1"/>
  <c r="H194" i="1"/>
  <c r="H195" i="1"/>
  <c r="H149" i="1"/>
  <c r="H148" i="1"/>
  <c r="H103" i="1"/>
  <c r="H102" i="1"/>
  <c r="P226" i="38"/>
  <c r="L226" i="38"/>
  <c r="H226"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AJ176" i="38"/>
  <c r="AF176" i="38"/>
  <c r="AB176" i="38"/>
  <c r="X176" i="38"/>
  <c r="T176" i="38"/>
  <c r="P176" i="38"/>
  <c r="H176" i="38"/>
  <c r="D176" i="38"/>
  <c r="AF175" i="38"/>
  <c r="AB175" i="38"/>
  <c r="X175" i="38"/>
  <c r="T175" i="38"/>
  <c r="P175" i="38"/>
  <c r="H175" i="38"/>
  <c r="AF174" i="38"/>
  <c r="AB174" i="38"/>
  <c r="X174" i="38"/>
  <c r="T174" i="38"/>
  <c r="P174" i="38"/>
  <c r="H174" i="38"/>
  <c r="AF173" i="38"/>
  <c r="AB173" i="38"/>
  <c r="X173" i="38"/>
  <c r="T173" i="38"/>
  <c r="P173" i="38"/>
  <c r="H173" i="38"/>
  <c r="AF172" i="38"/>
  <c r="AB172" i="38"/>
  <c r="X172" i="38"/>
  <c r="T172" i="38"/>
  <c r="P172" i="38"/>
  <c r="H172" i="38"/>
  <c r="AF171" i="38"/>
  <c r="AB171" i="38"/>
  <c r="X171" i="38"/>
  <c r="T171" i="38"/>
  <c r="P171" i="38"/>
  <c r="H171" i="38"/>
  <c r="AF170" i="38"/>
  <c r="AB170" i="38"/>
  <c r="X170" i="38"/>
  <c r="T170" i="38"/>
  <c r="P170" i="38"/>
  <c r="H170" i="38"/>
  <c r="AF169" i="38"/>
  <c r="AB169" i="38"/>
  <c r="X169" i="38"/>
  <c r="T169" i="38"/>
  <c r="P169" i="38"/>
  <c r="H169" i="38"/>
  <c r="AF168" i="38"/>
  <c r="AB168" i="38"/>
  <c r="X168" i="38"/>
  <c r="T168" i="38"/>
  <c r="P168" i="38"/>
  <c r="H168" i="38"/>
  <c r="AF167" i="38"/>
  <c r="AB167" i="38"/>
  <c r="X167" i="38"/>
  <c r="T167" i="38"/>
  <c r="P167" i="38"/>
  <c r="H167" i="38"/>
  <c r="AF166" i="38"/>
  <c r="AB166" i="38"/>
  <c r="X166" i="38"/>
  <c r="T166" i="38"/>
  <c r="P166" i="38"/>
  <c r="H166" i="38"/>
  <c r="AF165" i="38"/>
  <c r="AB165" i="38"/>
  <c r="X165" i="38"/>
  <c r="T165" i="38"/>
  <c r="P165" i="38"/>
  <c r="H165" i="38"/>
  <c r="AF164" i="38"/>
  <c r="AB164" i="38"/>
  <c r="X164" i="38"/>
  <c r="T164" i="38"/>
  <c r="P164" i="38"/>
  <c r="H164" i="38"/>
  <c r="AF163" i="38"/>
  <c r="AB163" i="38"/>
  <c r="X163" i="38"/>
  <c r="T163" i="38"/>
  <c r="P163" i="38"/>
  <c r="H163" i="38"/>
  <c r="AF162" i="38"/>
  <c r="AB162" i="38"/>
  <c r="X162" i="38"/>
  <c r="T162" i="38"/>
  <c r="P162" i="38"/>
  <c r="H162" i="38"/>
  <c r="AF161" i="38"/>
  <c r="AB161" i="38"/>
  <c r="X161" i="38"/>
  <c r="T161" i="38"/>
  <c r="P161" i="38"/>
  <c r="H161" i="38"/>
  <c r="AF160" i="38"/>
  <c r="AB160" i="38"/>
  <c r="X160" i="38"/>
  <c r="T160" i="38"/>
  <c r="P160" i="38"/>
  <c r="H160" i="38"/>
  <c r="AF159" i="38"/>
  <c r="AB159" i="38"/>
  <c r="X159" i="38"/>
  <c r="T159" i="38"/>
  <c r="P159" i="38"/>
  <c r="H159" i="38"/>
  <c r="AF158" i="38"/>
  <c r="AB158" i="38"/>
  <c r="X158" i="38"/>
  <c r="T158" i="38"/>
  <c r="P158" i="38"/>
  <c r="H158" i="38"/>
  <c r="AF157" i="38"/>
  <c r="AB157" i="38"/>
  <c r="X157" i="38"/>
  <c r="T157" i="38"/>
  <c r="P157" i="38"/>
  <c r="H157" i="38"/>
  <c r="AF156" i="38"/>
  <c r="AB156" i="38"/>
  <c r="X156" i="38"/>
  <c r="T156" i="38"/>
  <c r="P156" i="38"/>
  <c r="H156" i="38"/>
  <c r="AF155" i="38"/>
  <c r="AB155" i="38"/>
  <c r="X155" i="38"/>
  <c r="T155" i="38"/>
  <c r="P155" i="38"/>
  <c r="H155" i="38"/>
  <c r="AF154" i="38"/>
  <c r="AB154" i="38"/>
  <c r="X154" i="38"/>
  <c r="T154" i="38"/>
  <c r="P154" i="38"/>
  <c r="H154" i="38"/>
  <c r="AF153" i="38"/>
  <c r="AB153" i="38"/>
  <c r="X153" i="38"/>
  <c r="T153" i="38"/>
  <c r="P153" i="38"/>
  <c r="H153" i="38"/>
  <c r="AF152" i="38"/>
  <c r="AB152" i="38"/>
  <c r="X152" i="38"/>
  <c r="T152" i="38"/>
  <c r="P152" i="38"/>
  <c r="H152" i="38"/>
  <c r="AF151" i="38"/>
  <c r="AB151" i="38"/>
  <c r="X151" i="38"/>
  <c r="T151" i="38"/>
  <c r="P151" i="38"/>
  <c r="H151" i="38"/>
  <c r="AF150" i="38"/>
  <c r="AB150" i="38"/>
  <c r="X150" i="38"/>
  <c r="T150" i="38"/>
  <c r="P150" i="38"/>
  <c r="H150" i="38"/>
  <c r="AF149" i="38"/>
  <c r="AB149" i="38"/>
  <c r="X149" i="38"/>
  <c r="T149" i="38"/>
  <c r="P149" i="38"/>
  <c r="H149" i="38"/>
  <c r="AF148" i="38"/>
  <c r="AB148" i="38"/>
  <c r="X148" i="38"/>
  <c r="T148" i="38"/>
  <c r="P148" i="38"/>
  <c r="H148" i="38"/>
  <c r="AF147" i="38"/>
  <c r="AB147" i="38"/>
  <c r="X147" i="38"/>
  <c r="T147" i="38"/>
  <c r="P147" i="38"/>
  <c r="H147" i="38"/>
  <c r="AF146" i="38"/>
  <c r="AB146" i="38"/>
  <c r="X146" i="38"/>
  <c r="T146" i="38"/>
  <c r="P146" i="38"/>
  <c r="H146" i="38"/>
  <c r="AF145" i="38"/>
  <c r="AB145" i="38"/>
  <c r="X145" i="38"/>
  <c r="T145" i="38"/>
  <c r="P145" i="38"/>
  <c r="H145" i="38"/>
  <c r="AF144" i="38"/>
  <c r="AB144" i="38"/>
  <c r="X144" i="38"/>
  <c r="T144" i="38"/>
  <c r="P144" i="38"/>
  <c r="H144" i="38"/>
  <c r="AF143" i="38"/>
  <c r="AB143" i="38"/>
  <c r="X143" i="38"/>
  <c r="T143" i="38"/>
  <c r="P143" i="38"/>
  <c r="H143" i="38"/>
  <c r="AF142" i="38"/>
  <c r="AB142" i="38"/>
  <c r="X142" i="38"/>
  <c r="T142" i="38"/>
  <c r="P142" i="38"/>
  <c r="H142" i="38"/>
  <c r="AF141" i="38"/>
  <c r="AB141" i="38"/>
  <c r="X141" i="38"/>
  <c r="T141" i="38"/>
  <c r="P141" i="38"/>
  <c r="H141" i="38"/>
  <c r="AF140" i="38"/>
  <c r="AB140" i="38"/>
  <c r="X140" i="38"/>
  <c r="T140" i="38"/>
  <c r="P140" i="38"/>
  <c r="H140" i="38"/>
  <c r="AF139" i="38"/>
  <c r="AB139" i="38"/>
  <c r="X139" i="38"/>
  <c r="T139" i="38"/>
  <c r="P139" i="38"/>
  <c r="H139" i="38"/>
  <c r="AF138" i="38"/>
  <c r="AB138" i="38"/>
  <c r="X138" i="38"/>
  <c r="T138" i="38"/>
  <c r="P138" i="38"/>
  <c r="H138" i="38"/>
  <c r="AF137" i="38"/>
  <c r="AB137" i="38"/>
  <c r="X137" i="38"/>
  <c r="T137" i="38"/>
  <c r="P137" i="38"/>
  <c r="H137" i="38"/>
  <c r="AF136" i="38"/>
  <c r="AB136" i="38"/>
  <c r="X136" i="38"/>
  <c r="T136" i="38"/>
  <c r="P136" i="38"/>
  <c r="H136" i="38"/>
  <c r="AF135" i="38"/>
  <c r="AB135" i="38"/>
  <c r="X135" i="38"/>
  <c r="T135" i="38"/>
  <c r="P135" i="38"/>
  <c r="H135" i="38"/>
  <c r="AF134" i="38"/>
  <c r="AB134" i="38"/>
  <c r="X134" i="38"/>
  <c r="T134" i="38"/>
  <c r="P134" i="38"/>
  <c r="H134" i="38"/>
  <c r="AF133" i="38"/>
  <c r="AB133" i="38"/>
  <c r="X133" i="38"/>
  <c r="T133" i="38"/>
  <c r="P133" i="38"/>
  <c r="H133" i="38"/>
  <c r="AF132" i="38"/>
  <c r="AB132" i="38"/>
  <c r="X132" i="38"/>
  <c r="T132" i="38"/>
  <c r="P132" i="38"/>
  <c r="H132" i="38"/>
  <c r="AF131" i="38"/>
  <c r="AB131" i="38"/>
  <c r="X131" i="38"/>
  <c r="T131" i="38"/>
  <c r="P131" i="38"/>
  <c r="H131" i="38"/>
  <c r="AF130" i="38"/>
  <c r="AB130" i="38"/>
  <c r="X130" i="38"/>
  <c r="T130" i="38"/>
  <c r="P130" i="38"/>
  <c r="H130" i="38"/>
  <c r="AF129" i="38"/>
  <c r="AB129" i="38"/>
  <c r="X129" i="38"/>
  <c r="T129" i="38"/>
  <c r="P129" i="38"/>
  <c r="H129" i="38"/>
  <c r="AF128" i="38"/>
  <c r="AB128" i="38"/>
  <c r="X128" i="38"/>
  <c r="T128" i="38"/>
  <c r="P128" i="38"/>
  <c r="H128" i="38"/>
  <c r="AF127" i="38"/>
  <c r="AB127" i="38"/>
  <c r="X127" i="38"/>
  <c r="T127" i="38"/>
  <c r="P127" i="38"/>
  <c r="H127" i="38"/>
  <c r="AF126" i="38"/>
  <c r="AB126" i="38"/>
  <c r="X126" i="38"/>
  <c r="T126" i="38"/>
  <c r="P126" i="38"/>
  <c r="L126" i="38"/>
  <c r="H126" i="38"/>
  <c r="D126" i="38"/>
  <c r="AF125" i="38"/>
  <c r="X125" i="38"/>
  <c r="P125" i="38"/>
  <c r="AF124" i="38"/>
  <c r="X124" i="38"/>
  <c r="P124" i="38"/>
  <c r="AF123" i="38"/>
  <c r="X123" i="38"/>
  <c r="P123" i="38"/>
  <c r="AF122" i="38"/>
  <c r="X122" i="38"/>
  <c r="P122" i="38"/>
  <c r="AF121" i="38"/>
  <c r="X121" i="38"/>
  <c r="P121" i="38"/>
  <c r="AF120" i="38"/>
  <c r="X120" i="38"/>
  <c r="P120" i="38"/>
  <c r="AF119" i="38"/>
  <c r="X119" i="38"/>
  <c r="P119" i="38"/>
  <c r="AF118" i="38"/>
  <c r="X118" i="38"/>
  <c r="P118" i="38"/>
  <c r="AF117" i="38"/>
  <c r="X117" i="38"/>
  <c r="P117" i="38"/>
  <c r="AF116" i="38"/>
  <c r="X116" i="38"/>
  <c r="P116" i="38"/>
  <c r="AF115" i="38"/>
  <c r="X115" i="38"/>
  <c r="P115" i="38"/>
  <c r="AF114" i="38"/>
  <c r="X114" i="38"/>
  <c r="P114" i="38"/>
  <c r="AF113" i="38"/>
  <c r="X113" i="38"/>
  <c r="P113" i="38"/>
  <c r="AF112" i="38"/>
  <c r="X112" i="38"/>
  <c r="P112" i="38"/>
  <c r="AF111" i="38"/>
  <c r="X111" i="38"/>
  <c r="P111" i="38"/>
  <c r="AF110" i="38"/>
  <c r="X110" i="38"/>
  <c r="P110" i="38"/>
  <c r="AF109" i="38"/>
  <c r="X109" i="38"/>
  <c r="P109" i="38"/>
  <c r="AF108" i="38"/>
  <c r="X108" i="38"/>
  <c r="P108" i="38"/>
  <c r="AF107" i="38"/>
  <c r="X107" i="38"/>
  <c r="P107" i="38"/>
  <c r="AF106" i="38"/>
  <c r="X106" i="38"/>
  <c r="P106" i="38"/>
  <c r="AF105" i="38"/>
  <c r="X105" i="38"/>
  <c r="P105" i="38"/>
  <c r="AF104" i="38"/>
  <c r="X104" i="38"/>
  <c r="P104" i="38"/>
  <c r="AF103" i="38"/>
  <c r="X103" i="38"/>
  <c r="P103" i="38"/>
  <c r="AF102" i="38"/>
  <c r="X102" i="38"/>
  <c r="P102" i="38"/>
  <c r="AF101" i="38"/>
  <c r="X101" i="38"/>
  <c r="P101" i="38"/>
  <c r="AF100" i="38"/>
  <c r="X100" i="38"/>
  <c r="P100" i="38"/>
  <c r="AF99" i="38"/>
  <c r="X99" i="38"/>
  <c r="P99" i="38"/>
  <c r="AF98" i="38"/>
  <c r="X98" i="38"/>
  <c r="P98" i="38"/>
  <c r="AF97" i="38"/>
  <c r="X97" i="38"/>
  <c r="P97" i="38"/>
  <c r="AF96" i="38"/>
  <c r="X96" i="38"/>
  <c r="P96" i="38"/>
  <c r="AF95" i="38"/>
  <c r="X95" i="38"/>
  <c r="P95" i="38"/>
  <c r="AF94" i="38"/>
  <c r="X94" i="38"/>
  <c r="P94" i="38"/>
  <c r="AF93" i="38"/>
  <c r="X93" i="38"/>
  <c r="P93" i="38"/>
  <c r="AF92" i="38"/>
  <c r="X92" i="38"/>
  <c r="P92" i="38"/>
  <c r="AF91" i="38"/>
  <c r="X91" i="38"/>
  <c r="P91" i="38"/>
  <c r="AF90" i="38"/>
  <c r="X90" i="38"/>
  <c r="P90" i="38"/>
  <c r="AF89" i="38"/>
  <c r="X89" i="38"/>
  <c r="P89" i="38"/>
  <c r="AF88" i="38"/>
  <c r="X88" i="38"/>
  <c r="P88" i="38"/>
  <c r="AF87" i="38"/>
  <c r="X87" i="38"/>
  <c r="P87" i="38"/>
  <c r="AF86" i="38"/>
  <c r="X86" i="38"/>
  <c r="P86" i="38"/>
  <c r="AF85" i="38"/>
  <c r="X85" i="38"/>
  <c r="P85" i="38"/>
  <c r="AF84" i="38"/>
  <c r="X84" i="38"/>
  <c r="P84" i="38"/>
  <c r="AF83" i="38"/>
  <c r="X83" i="38"/>
  <c r="P83" i="38"/>
  <c r="AF82" i="38"/>
  <c r="X82" i="38"/>
  <c r="P82" i="38"/>
  <c r="AF81" i="38"/>
  <c r="X81" i="38"/>
  <c r="P81" i="38"/>
  <c r="AF80" i="38"/>
  <c r="X80" i="38"/>
  <c r="P80" i="38"/>
  <c r="AF79" i="38"/>
  <c r="X79" i="38"/>
  <c r="P79" i="38"/>
  <c r="AF78" i="38"/>
  <c r="X78" i="38"/>
  <c r="P78" i="38"/>
  <c r="AF77" i="38"/>
  <c r="X77" i="38"/>
  <c r="P77" i="38"/>
  <c r="AJ76" i="38"/>
  <c r="AF76" i="38"/>
  <c r="AB76" i="38"/>
  <c r="X76" i="38"/>
  <c r="T76" i="38"/>
  <c r="P76" i="38"/>
  <c r="L76" i="38"/>
  <c r="H76" i="38"/>
  <c r="D76" i="38"/>
  <c r="X75" i="38"/>
  <c r="X74" i="38"/>
  <c r="X73" i="38"/>
  <c r="X72" i="38"/>
  <c r="X71" i="38"/>
  <c r="X70" i="38"/>
  <c r="X69" i="38"/>
  <c r="X68" i="38"/>
  <c r="X67" i="38"/>
  <c r="X66" i="38"/>
  <c r="X65" i="38"/>
  <c r="X64" i="38"/>
  <c r="X63" i="38"/>
  <c r="X62" i="38"/>
  <c r="X61" i="38"/>
  <c r="X60" i="38"/>
  <c r="X59" i="38"/>
  <c r="X58" i="38"/>
  <c r="X57" i="38"/>
  <c r="X56" i="38"/>
  <c r="X55" i="38"/>
  <c r="X54" i="38"/>
  <c r="X53" i="38"/>
  <c r="X52" i="38"/>
  <c r="X51" i="38"/>
  <c r="X50" i="38"/>
  <c r="X49" i="38"/>
  <c r="X48" i="38"/>
  <c r="X47" i="38"/>
  <c r="X46" i="38"/>
  <c r="X45" i="38"/>
  <c r="X44" i="38"/>
  <c r="X43" i="38"/>
  <c r="X42" i="38"/>
  <c r="X41" i="38"/>
  <c r="X40" i="38"/>
  <c r="X39" i="38"/>
  <c r="X38" i="38"/>
  <c r="X37" i="38"/>
  <c r="X36" i="38"/>
  <c r="X35" i="38"/>
  <c r="X34" i="38"/>
  <c r="X33" i="38"/>
  <c r="X32" i="38"/>
  <c r="X31" i="38"/>
  <c r="X30" i="38"/>
  <c r="X29" i="38"/>
  <c r="X28" i="38"/>
  <c r="X27" i="38"/>
  <c r="AJ26" i="38"/>
  <c r="AF26" i="38"/>
  <c r="AB26" i="38"/>
  <c r="X26" i="38"/>
  <c r="T26" i="38"/>
  <c r="P26" i="38"/>
  <c r="L26" i="38"/>
  <c r="H26" i="38"/>
  <c r="D26" i="38"/>
  <c r="P25" i="38"/>
  <c r="P24" i="38"/>
  <c r="P23" i="38"/>
  <c r="P22" i="38"/>
  <c r="P21" i="38"/>
  <c r="P20" i="38"/>
  <c r="P19" i="38"/>
  <c r="P18" i="38"/>
  <c r="P17" i="38"/>
  <c r="P16" i="38"/>
  <c r="P15" i="38"/>
  <c r="P14" i="38"/>
  <c r="P13" i="38"/>
  <c r="P12" i="38"/>
  <c r="P11" i="38"/>
  <c r="P10" i="38"/>
  <c r="P9" i="38"/>
  <c r="P8" i="38"/>
  <c r="P7" i="38"/>
  <c r="F7" i="38"/>
  <c r="F8" i="38"/>
  <c r="F9" i="38"/>
  <c r="F10" i="38"/>
  <c r="F11" i="38"/>
  <c r="F12" i="38"/>
  <c r="F13" i="38"/>
  <c r="B7" i="38"/>
  <c r="B8" i="38"/>
  <c r="B9" i="38"/>
  <c r="AJ6" i="38"/>
  <c r="AF6" i="38"/>
  <c r="X6" i="38"/>
  <c r="V6" i="38"/>
  <c r="Z6" i="38"/>
  <c r="AD6" i="38"/>
  <c r="T6" i="38"/>
  <c r="R6" i="38"/>
  <c r="P6" i="38"/>
  <c r="N6" i="38"/>
  <c r="L6" i="38"/>
  <c r="J6" i="38"/>
  <c r="H6" i="38"/>
  <c r="G6" i="38"/>
  <c r="D6" i="38"/>
  <c r="C6" i="38"/>
  <c r="AJ5" i="38"/>
  <c r="AF5" i="38"/>
  <c r="AB5" i="38"/>
  <c r="X5" i="38"/>
  <c r="V5" i="38"/>
  <c r="Z5" i="38"/>
  <c r="T5" i="38"/>
  <c r="R5" i="38"/>
  <c r="P5" i="38"/>
  <c r="N5" i="38"/>
  <c r="L5" i="38"/>
  <c r="J5" i="38"/>
  <c r="H5" i="38"/>
  <c r="D5" i="38"/>
  <c r="AA189" i="37"/>
  <c r="X189" i="37"/>
  <c r="AF177" i="38"/>
  <c r="U189" i="37"/>
  <c r="R189" i="37"/>
  <c r="X177" i="38"/>
  <c r="O189" i="37"/>
  <c r="L189" i="37"/>
  <c r="P177" i="38"/>
  <c r="F189" i="37"/>
  <c r="H177" i="38"/>
  <c r="I139" i="37"/>
  <c r="L127" i="38"/>
  <c r="C139" i="37"/>
  <c r="D127" i="38"/>
  <c r="AA89" i="37"/>
  <c r="AJ77" i="38"/>
  <c r="U89" i="37"/>
  <c r="O89" i="37"/>
  <c r="T77" i="38"/>
  <c r="I89" i="37"/>
  <c r="L77" i="38"/>
  <c r="F89" i="37"/>
  <c r="C89" i="37"/>
  <c r="D77" i="38"/>
  <c r="AA39" i="37"/>
  <c r="AJ27" i="38"/>
  <c r="X39" i="37"/>
  <c r="AF27" i="38"/>
  <c r="U39" i="37"/>
  <c r="AB27" i="38"/>
  <c r="O39" i="37"/>
  <c r="T27" i="38"/>
  <c r="L39" i="37"/>
  <c r="I39" i="37"/>
  <c r="L27" i="38"/>
  <c r="F39" i="37"/>
  <c r="C39" i="37"/>
  <c r="D27" i="38"/>
  <c r="AC38" i="37"/>
  <c r="AA19" i="37"/>
  <c r="Z19" i="37"/>
  <c r="Z20" i="37"/>
  <c r="Z21" i="37"/>
  <c r="Z22" i="37"/>
  <c r="Z23" i="37"/>
  <c r="Z24" i="37"/>
  <c r="Z25" i="37"/>
  <c r="Z26" i="37"/>
  <c r="Z27" i="37"/>
  <c r="Z28" i="37"/>
  <c r="Z29" i="37"/>
  <c r="Z30" i="37"/>
  <c r="Z31" i="37"/>
  <c r="Z32" i="37"/>
  <c r="Z33" i="37"/>
  <c r="Z34" i="37"/>
  <c r="Z35" i="37"/>
  <c r="Z36" i="37"/>
  <c r="Z37" i="37"/>
  <c r="Z38" i="37"/>
  <c r="Z39" i="37"/>
  <c r="Z40" i="37"/>
  <c r="Z41" i="37"/>
  <c r="Z42" i="37"/>
  <c r="Z43" i="37"/>
  <c r="Z44" i="37"/>
  <c r="Z45" i="37"/>
  <c r="Z46" i="37"/>
  <c r="Z47" i="37"/>
  <c r="Z48" i="37"/>
  <c r="Z49" i="37"/>
  <c r="Z50" i="37"/>
  <c r="Z51" i="37"/>
  <c r="Z52" i="37"/>
  <c r="Z53" i="37"/>
  <c r="Z54" i="37"/>
  <c r="Z55" i="37"/>
  <c r="Z56" i="37"/>
  <c r="Z57" i="37"/>
  <c r="Z58" i="37"/>
  <c r="Z59" i="37"/>
  <c r="Z60" i="37"/>
  <c r="Z61" i="37"/>
  <c r="Z62" i="37"/>
  <c r="Z63" i="37"/>
  <c r="Z64" i="37"/>
  <c r="Z65" i="37"/>
  <c r="Z66" i="37"/>
  <c r="Z67" i="37"/>
  <c r="Z68" i="37"/>
  <c r="Z69" i="37"/>
  <c r="Z70" i="37"/>
  <c r="Z71" i="37"/>
  <c r="Z72" i="37"/>
  <c r="Z73" i="37"/>
  <c r="Z74" i="37"/>
  <c r="Z75" i="37"/>
  <c r="Z76" i="37"/>
  <c r="Z77" i="37"/>
  <c r="Z78" i="37"/>
  <c r="Z79" i="37"/>
  <c r="Z80" i="37"/>
  <c r="Z81" i="37"/>
  <c r="Z82" i="37"/>
  <c r="Z83" i="37"/>
  <c r="Z84" i="37"/>
  <c r="Z85" i="37"/>
  <c r="Z86" i="37"/>
  <c r="Z87" i="37"/>
  <c r="Z88" i="37"/>
  <c r="Z89" i="37"/>
  <c r="Z90" i="37"/>
  <c r="Z91" i="37"/>
  <c r="Z92" i="37"/>
  <c r="Z93" i="37"/>
  <c r="Z94" i="37"/>
  <c r="Z95" i="37"/>
  <c r="Z96" i="37"/>
  <c r="Z97" i="37"/>
  <c r="Z98" i="37"/>
  <c r="Z99" i="37"/>
  <c r="Z100" i="37"/>
  <c r="Z101" i="37"/>
  <c r="Z102" i="37"/>
  <c r="Z103" i="37"/>
  <c r="Z104" i="37"/>
  <c r="Z105" i="37"/>
  <c r="Z106" i="37"/>
  <c r="Z107" i="37"/>
  <c r="Z108" i="37"/>
  <c r="Z109" i="37"/>
  <c r="Z110" i="37"/>
  <c r="Z111" i="37"/>
  <c r="Z112" i="37"/>
  <c r="Z113" i="37"/>
  <c r="Z114" i="37"/>
  <c r="Z115" i="37"/>
  <c r="Z116" i="37"/>
  <c r="Z117" i="37"/>
  <c r="Z118" i="37"/>
  <c r="Z119" i="37"/>
  <c r="Z120" i="37"/>
  <c r="Z121" i="37"/>
  <c r="Z122" i="37"/>
  <c r="Z123" i="37"/>
  <c r="Z124" i="37"/>
  <c r="Z125" i="37"/>
  <c r="Z126" i="37"/>
  <c r="Z127" i="37"/>
  <c r="X19" i="37"/>
  <c r="AF7" i="38"/>
  <c r="W19" i="37"/>
  <c r="W20" i="37"/>
  <c r="W21" i="37"/>
  <c r="W22" i="37"/>
  <c r="W23" i="37"/>
  <c r="W24" i="37"/>
  <c r="W25" i="37"/>
  <c r="W26" i="37"/>
  <c r="W27" i="37"/>
  <c r="W28" i="37"/>
  <c r="W29" i="37"/>
  <c r="W30" i="37"/>
  <c r="W31" i="37"/>
  <c r="W32" i="37"/>
  <c r="W33" i="37"/>
  <c r="W34" i="37"/>
  <c r="W35" i="37"/>
  <c r="W36" i="37"/>
  <c r="W37" i="37"/>
  <c r="W38" i="37"/>
  <c r="W39" i="37"/>
  <c r="W40" i="37"/>
  <c r="W41" i="37"/>
  <c r="W42" i="37"/>
  <c r="W43" i="37"/>
  <c r="W44" i="37"/>
  <c r="W45" i="37"/>
  <c r="W46" i="37"/>
  <c r="W47" i="37"/>
  <c r="W48" i="37"/>
  <c r="W49" i="37"/>
  <c r="W50" i="37"/>
  <c r="W51" i="37"/>
  <c r="W52" i="37"/>
  <c r="W53" i="37"/>
  <c r="W54" i="37"/>
  <c r="W55" i="37"/>
  <c r="W56" i="37"/>
  <c r="W57" i="37"/>
  <c r="W58" i="37"/>
  <c r="W59" i="37"/>
  <c r="W60" i="37"/>
  <c r="W61" i="37"/>
  <c r="W62" i="37"/>
  <c r="W63" i="37"/>
  <c r="W64" i="37"/>
  <c r="W65" i="37"/>
  <c r="W66" i="37"/>
  <c r="W67" i="37"/>
  <c r="W68" i="37"/>
  <c r="W69" i="37"/>
  <c r="W70" i="37"/>
  <c r="W71" i="37"/>
  <c r="W72" i="37"/>
  <c r="W73" i="37"/>
  <c r="W74" i="37"/>
  <c r="W75" i="37"/>
  <c r="W76" i="37"/>
  <c r="W77" i="37"/>
  <c r="W78" i="37"/>
  <c r="W79" i="37"/>
  <c r="W80" i="37"/>
  <c r="W81" i="37"/>
  <c r="W82" i="37"/>
  <c r="W83" i="37"/>
  <c r="W84" i="37"/>
  <c r="W85" i="37"/>
  <c r="W86" i="37"/>
  <c r="W87" i="37"/>
  <c r="W88" i="37"/>
  <c r="W89" i="37"/>
  <c r="W90" i="37"/>
  <c r="W91" i="37"/>
  <c r="W92" i="37"/>
  <c r="W93" i="37"/>
  <c r="W94" i="37"/>
  <c r="W95" i="37"/>
  <c r="W96" i="37"/>
  <c r="W97" i="37"/>
  <c r="W98" i="37"/>
  <c r="W99" i="37"/>
  <c r="W100" i="37"/>
  <c r="W101" i="37"/>
  <c r="W102" i="37"/>
  <c r="W103" i="37"/>
  <c r="W104" i="37"/>
  <c r="W105" i="37"/>
  <c r="W106" i="37"/>
  <c r="W107" i="37"/>
  <c r="W108" i="37"/>
  <c r="W109" i="37"/>
  <c r="W110" i="37"/>
  <c r="W111" i="37"/>
  <c r="W112" i="37"/>
  <c r="W113" i="37"/>
  <c r="W114" i="37"/>
  <c r="W115" i="37"/>
  <c r="W116" i="37"/>
  <c r="W117" i="37"/>
  <c r="W118" i="37"/>
  <c r="W119" i="37"/>
  <c r="W120" i="37"/>
  <c r="W121" i="37"/>
  <c r="W122" i="37"/>
  <c r="W123" i="37"/>
  <c r="W124" i="37"/>
  <c r="W125" i="37"/>
  <c r="W126" i="37"/>
  <c r="W127" i="37"/>
  <c r="T19" i="37"/>
  <c r="T20" i="37"/>
  <c r="T21" i="37"/>
  <c r="T22" i="37"/>
  <c r="T23" i="37"/>
  <c r="T24" i="37"/>
  <c r="T25" i="37"/>
  <c r="T26" i="37"/>
  <c r="T27" i="37"/>
  <c r="T28" i="37"/>
  <c r="T29" i="37"/>
  <c r="T30" i="37"/>
  <c r="T31" i="37"/>
  <c r="T32" i="37"/>
  <c r="T33" i="37"/>
  <c r="T34" i="37"/>
  <c r="T35" i="37"/>
  <c r="T36" i="37"/>
  <c r="T37" i="37"/>
  <c r="T38" i="37"/>
  <c r="T39" i="37"/>
  <c r="T40" i="37"/>
  <c r="T41" i="37"/>
  <c r="T42" i="37"/>
  <c r="T43" i="37"/>
  <c r="T44" i="37"/>
  <c r="T45" i="37"/>
  <c r="T46" i="37"/>
  <c r="T47" i="37"/>
  <c r="T48" i="37"/>
  <c r="T49" i="37"/>
  <c r="T50" i="37"/>
  <c r="T51" i="37"/>
  <c r="T52" i="37"/>
  <c r="T53" i="37"/>
  <c r="T54" i="37"/>
  <c r="T55" i="37"/>
  <c r="T56" i="37"/>
  <c r="T57" i="37"/>
  <c r="T58" i="37"/>
  <c r="T59" i="37"/>
  <c r="T60" i="37"/>
  <c r="T61" i="37"/>
  <c r="T62" i="37"/>
  <c r="T63" i="37"/>
  <c r="T64" i="37"/>
  <c r="T65" i="37"/>
  <c r="T66" i="37"/>
  <c r="T67" i="37"/>
  <c r="T68" i="37"/>
  <c r="T69" i="37"/>
  <c r="T70" i="37"/>
  <c r="T71" i="37"/>
  <c r="T72" i="37"/>
  <c r="T73" i="37"/>
  <c r="T74" i="37"/>
  <c r="T75" i="37"/>
  <c r="T76" i="37"/>
  <c r="T77" i="37"/>
  <c r="T78" i="37"/>
  <c r="T79" i="37"/>
  <c r="T80" i="37"/>
  <c r="T81" i="37"/>
  <c r="T82" i="37"/>
  <c r="T83" i="37"/>
  <c r="T84" i="37"/>
  <c r="T85" i="37"/>
  <c r="T86" i="37"/>
  <c r="T87" i="37"/>
  <c r="T88" i="37"/>
  <c r="T89" i="37"/>
  <c r="T90" i="37"/>
  <c r="T91" i="37"/>
  <c r="T92" i="37"/>
  <c r="T93" i="37"/>
  <c r="T94" i="37"/>
  <c r="T95" i="37"/>
  <c r="T96" i="37"/>
  <c r="T97" i="37"/>
  <c r="T98" i="37"/>
  <c r="T99" i="37"/>
  <c r="T100" i="37"/>
  <c r="T101" i="37"/>
  <c r="T102" i="37"/>
  <c r="T103" i="37"/>
  <c r="T104" i="37"/>
  <c r="T105" i="37"/>
  <c r="T106" i="37"/>
  <c r="T107" i="37"/>
  <c r="T108" i="37"/>
  <c r="T109" i="37"/>
  <c r="T110" i="37"/>
  <c r="T111" i="37"/>
  <c r="T112" i="37"/>
  <c r="T113" i="37"/>
  <c r="T114" i="37"/>
  <c r="T115" i="37"/>
  <c r="T116" i="37"/>
  <c r="T117" i="37"/>
  <c r="T118" i="37"/>
  <c r="T119" i="37"/>
  <c r="T120" i="37"/>
  <c r="T121" i="37"/>
  <c r="T122" i="37"/>
  <c r="T123" i="37"/>
  <c r="T124" i="37"/>
  <c r="T125" i="37"/>
  <c r="T126" i="37"/>
  <c r="T127" i="37"/>
  <c r="R19" i="37"/>
  <c r="X7" i="38"/>
  <c r="Q19" i="37"/>
  <c r="V7" i="38"/>
  <c r="O19" i="37"/>
  <c r="N19" i="37"/>
  <c r="R7" i="38"/>
  <c r="K19" i="37"/>
  <c r="N7" i="38"/>
  <c r="I19" i="37"/>
  <c r="L7" i="38"/>
  <c r="H19" i="37"/>
  <c r="F19" i="37"/>
  <c r="H7" i="38"/>
  <c r="E19" i="37"/>
  <c r="E20" i="37"/>
  <c r="E21" i="37"/>
  <c r="E22" i="37"/>
  <c r="E23" i="37"/>
  <c r="E24" i="37"/>
  <c r="E25" i="37"/>
  <c r="E26" i="37"/>
  <c r="E27" i="37"/>
  <c r="E28" i="37"/>
  <c r="E29" i="37"/>
  <c r="E30" i="37"/>
  <c r="E31" i="37"/>
  <c r="E32" i="37"/>
  <c r="E33" i="37"/>
  <c r="E34" i="37"/>
  <c r="E35" i="37"/>
  <c r="E36" i="37"/>
  <c r="E37" i="37"/>
  <c r="E38" i="37"/>
  <c r="E39" i="37"/>
  <c r="E40" i="37"/>
  <c r="E41" i="37"/>
  <c r="E42" i="37"/>
  <c r="E43" i="37"/>
  <c r="E44" i="37"/>
  <c r="E45" i="37"/>
  <c r="E46" i="37"/>
  <c r="E47" i="37"/>
  <c r="E48" i="37"/>
  <c r="E49" i="37"/>
  <c r="E50" i="37"/>
  <c r="E51" i="37"/>
  <c r="E52" i="37"/>
  <c r="E53" i="37"/>
  <c r="E54" i="37"/>
  <c r="E55" i="37"/>
  <c r="E56" i="37"/>
  <c r="E57" i="37"/>
  <c r="E58" i="37"/>
  <c r="E59" i="37"/>
  <c r="E60" i="37"/>
  <c r="E61" i="37"/>
  <c r="E62" i="37"/>
  <c r="E63" i="37"/>
  <c r="E64" i="37"/>
  <c r="E65" i="37"/>
  <c r="E66" i="37"/>
  <c r="E67" i="37"/>
  <c r="E68" i="37"/>
  <c r="E69" i="37"/>
  <c r="E70" i="37"/>
  <c r="E71" i="37"/>
  <c r="E72" i="37"/>
  <c r="E73" i="37"/>
  <c r="E74" i="37"/>
  <c r="E75" i="37"/>
  <c r="E76" i="37"/>
  <c r="E77" i="37"/>
  <c r="E78" i="37"/>
  <c r="E79" i="37"/>
  <c r="E80" i="37"/>
  <c r="E81" i="37"/>
  <c r="E82" i="37"/>
  <c r="E83" i="37"/>
  <c r="E84" i="37"/>
  <c r="E85" i="37"/>
  <c r="E86" i="37"/>
  <c r="E87" i="37"/>
  <c r="E88" i="37"/>
  <c r="E89" i="37"/>
  <c r="E90" i="37"/>
  <c r="E91" i="37"/>
  <c r="E92" i="37"/>
  <c r="E93" i="37"/>
  <c r="E94" i="37"/>
  <c r="E95" i="37"/>
  <c r="E96" i="37"/>
  <c r="E97" i="37"/>
  <c r="E98" i="37"/>
  <c r="E99" i="37"/>
  <c r="E100" i="37"/>
  <c r="E101" i="37"/>
  <c r="E102" i="37"/>
  <c r="E103" i="37"/>
  <c r="E104" i="37"/>
  <c r="E105" i="37"/>
  <c r="E106" i="37"/>
  <c r="E107" i="37"/>
  <c r="E108" i="37"/>
  <c r="E109" i="37"/>
  <c r="E110" i="37"/>
  <c r="E111" i="37"/>
  <c r="E112" i="37"/>
  <c r="E113" i="37"/>
  <c r="E114" i="37"/>
  <c r="E115" i="37"/>
  <c r="E116" i="37"/>
  <c r="E117" i="37"/>
  <c r="E118" i="37"/>
  <c r="E119" i="37"/>
  <c r="E120" i="37"/>
  <c r="E121" i="37"/>
  <c r="E122" i="37"/>
  <c r="E123" i="37"/>
  <c r="E124" i="37"/>
  <c r="E125" i="37"/>
  <c r="E126" i="37"/>
  <c r="E127" i="37"/>
  <c r="C19" i="37"/>
  <c r="D7" i="38"/>
  <c r="B19" i="37"/>
  <c r="B20" i="37"/>
  <c r="B21" i="37"/>
  <c r="B22" i="37"/>
  <c r="B23" i="37"/>
  <c r="B24" i="37"/>
  <c r="B25" i="37"/>
  <c r="B26" i="37"/>
  <c r="B27" i="37"/>
  <c r="B28" i="37"/>
  <c r="B29" i="37"/>
  <c r="B30" i="37"/>
  <c r="B31" i="37"/>
  <c r="B32" i="37"/>
  <c r="B33" i="37"/>
  <c r="B34" i="37"/>
  <c r="B35" i="37"/>
  <c r="B36" i="37"/>
  <c r="B37" i="37"/>
  <c r="B38" i="37"/>
  <c r="B39" i="37"/>
  <c r="B40" i="37"/>
  <c r="B41" i="37"/>
  <c r="B42" i="37"/>
  <c r="B43" i="37"/>
  <c r="B44" i="37"/>
  <c r="B45" i="37"/>
  <c r="B46" i="37"/>
  <c r="B47" i="37"/>
  <c r="B48" i="37"/>
  <c r="B49" i="37"/>
  <c r="B50" i="37"/>
  <c r="B51" i="37"/>
  <c r="B52" i="37"/>
  <c r="B53" i="37"/>
  <c r="B54" i="37"/>
  <c r="B55" i="37"/>
  <c r="B56" i="37"/>
  <c r="B57" i="37"/>
  <c r="B58" i="37"/>
  <c r="B59" i="37"/>
  <c r="B60" i="37"/>
  <c r="B61" i="37"/>
  <c r="B62" i="37"/>
  <c r="B63" i="37"/>
  <c r="B64" i="37"/>
  <c r="B65" i="37"/>
  <c r="B66" i="37"/>
  <c r="B67" i="37"/>
  <c r="B68" i="37"/>
  <c r="B69" i="37"/>
  <c r="B70" i="37"/>
  <c r="B71" i="37"/>
  <c r="B72" i="37"/>
  <c r="B73" i="37"/>
  <c r="B74" i="37"/>
  <c r="B75" i="37"/>
  <c r="B76" i="37"/>
  <c r="B77" i="37"/>
  <c r="B78" i="37"/>
  <c r="B79" i="37"/>
  <c r="B80" i="37"/>
  <c r="B81" i="37"/>
  <c r="B82" i="37"/>
  <c r="B83" i="37"/>
  <c r="B84" i="37"/>
  <c r="B85" i="37"/>
  <c r="B86" i="37"/>
  <c r="B87" i="37"/>
  <c r="B88" i="37"/>
  <c r="B89" i="37"/>
  <c r="B90" i="37"/>
  <c r="B91" i="37"/>
  <c r="B92" i="37"/>
  <c r="B93" i="37"/>
  <c r="B94" i="37"/>
  <c r="B95" i="37"/>
  <c r="B96" i="37"/>
  <c r="B97" i="37"/>
  <c r="B98" i="37"/>
  <c r="B99" i="37"/>
  <c r="B100" i="37"/>
  <c r="B101" i="37"/>
  <c r="B102" i="37"/>
  <c r="B103" i="37"/>
  <c r="B104" i="37"/>
  <c r="B105" i="37"/>
  <c r="B106" i="37"/>
  <c r="B107" i="37"/>
  <c r="B108" i="37"/>
  <c r="B109" i="37"/>
  <c r="B110" i="37"/>
  <c r="B111" i="37"/>
  <c r="B112" i="37"/>
  <c r="B113" i="37"/>
  <c r="B114" i="37"/>
  <c r="B115" i="37"/>
  <c r="B116" i="37"/>
  <c r="B117" i="37"/>
  <c r="B118" i="37"/>
  <c r="B119" i="37"/>
  <c r="B120" i="37"/>
  <c r="B121" i="37"/>
  <c r="B122" i="37"/>
  <c r="B123" i="37"/>
  <c r="B124" i="37"/>
  <c r="B125" i="37"/>
  <c r="B126" i="37"/>
  <c r="B127" i="37"/>
  <c r="U18" i="37"/>
  <c r="AB6" i="38"/>
  <c r="F12" i="37"/>
  <c r="C12" i="37"/>
  <c r="C15" i="36" s="1"/>
  <c r="F15" i="36" s="1"/>
  <c r="G15" i="36" s="1"/>
  <c r="I15" i="36" s="1"/>
  <c r="F11" i="37"/>
  <c r="C11" i="37"/>
  <c r="F10" i="37"/>
  <c r="C10" i="37"/>
  <c r="C13" i="36" s="1"/>
  <c r="F13" i="36" s="1"/>
  <c r="G13" i="36" s="1"/>
  <c r="I13" i="36" s="1"/>
  <c r="F9" i="37"/>
  <c r="C9" i="37"/>
  <c r="F8" i="37"/>
  <c r="C8" i="37"/>
  <c r="C11" i="36" s="1"/>
  <c r="F11" i="36" s="1"/>
  <c r="G11" i="36" s="1"/>
  <c r="I11" i="36" s="1"/>
  <c r="F7" i="37"/>
  <c r="C7" i="37"/>
  <c r="C10" i="36" s="1"/>
  <c r="F10" i="36" s="1"/>
  <c r="G10" i="36" s="1"/>
  <c r="I10" i="36" s="1"/>
  <c r="N6" i="37"/>
  <c r="O6" i="37"/>
  <c r="F6" i="37"/>
  <c r="C6" i="37"/>
  <c r="C9" i="36" s="1"/>
  <c r="F9" i="36" s="1"/>
  <c r="G9" i="36" s="1"/>
  <c r="I9" i="36" s="1"/>
  <c r="F5" i="37"/>
  <c r="C5" i="37"/>
  <c r="C8" i="36" s="1"/>
  <c r="F8" i="36" s="1"/>
  <c r="G8" i="36" s="1"/>
  <c r="I8" i="36" s="1"/>
  <c r="F4" i="37"/>
  <c r="C4" i="37"/>
  <c r="C7" i="36" s="1"/>
  <c r="F7" i="36" s="1"/>
  <c r="G7" i="36" s="1"/>
  <c r="I7" i="36" s="1"/>
  <c r="E11" i="36"/>
  <c r="S5" i="38"/>
  <c r="S6" i="38"/>
  <c r="C7" i="38"/>
  <c r="O7" i="38"/>
  <c r="AA6" i="38"/>
  <c r="O6" i="38"/>
  <c r="W6" i="38"/>
  <c r="F20" i="37"/>
  <c r="H8" i="38"/>
  <c r="G8" i="38"/>
  <c r="AA5" i="38"/>
  <c r="N20" i="37"/>
  <c r="N21" i="37"/>
  <c r="C90" i="37"/>
  <c r="D78" i="38"/>
  <c r="W5" i="38"/>
  <c r="K6" i="38"/>
  <c r="G7" i="38"/>
  <c r="U19" i="37"/>
  <c r="AB7" i="38"/>
  <c r="X40" i="37"/>
  <c r="AF28" i="38"/>
  <c r="I90" i="37"/>
  <c r="L78" i="38"/>
  <c r="AA90" i="37"/>
  <c r="B128" i="37"/>
  <c r="B129" i="37"/>
  <c r="B130" i="37"/>
  <c r="B131" i="37"/>
  <c r="B132" i="37"/>
  <c r="B133" i="37"/>
  <c r="B134" i="37"/>
  <c r="B135" i="37"/>
  <c r="B136" i="37"/>
  <c r="B137" i="37"/>
  <c r="B138" i="37"/>
  <c r="B139" i="37"/>
  <c r="B140" i="37"/>
  <c r="B141" i="37"/>
  <c r="B142" i="37"/>
  <c r="B143" i="37"/>
  <c r="B144" i="37"/>
  <c r="B145" i="37"/>
  <c r="B146" i="37"/>
  <c r="B147" i="37"/>
  <c r="B148" i="37"/>
  <c r="B149" i="37"/>
  <c r="B150" i="37"/>
  <c r="B151" i="37"/>
  <c r="B152" i="37"/>
  <c r="B153" i="37"/>
  <c r="B154" i="37"/>
  <c r="B155" i="37"/>
  <c r="B156" i="37"/>
  <c r="B157" i="37"/>
  <c r="B158" i="37"/>
  <c r="B159" i="37"/>
  <c r="B160" i="37"/>
  <c r="B161" i="37"/>
  <c r="B162" i="37"/>
  <c r="B163" i="37"/>
  <c r="B164" i="37"/>
  <c r="B165" i="37"/>
  <c r="B166" i="37"/>
  <c r="B167" i="37"/>
  <c r="B168" i="37"/>
  <c r="B169" i="37"/>
  <c r="B170" i="37"/>
  <c r="B171" i="37"/>
  <c r="B172" i="37"/>
  <c r="B173" i="37"/>
  <c r="B174" i="37"/>
  <c r="B175" i="37"/>
  <c r="B176" i="37"/>
  <c r="B177" i="37"/>
  <c r="B178" i="37"/>
  <c r="B179" i="37"/>
  <c r="B180" i="37"/>
  <c r="B181" i="37"/>
  <c r="B182" i="37"/>
  <c r="B183" i="37"/>
  <c r="B184" i="37"/>
  <c r="B185" i="37"/>
  <c r="B186" i="37"/>
  <c r="B187" i="37"/>
  <c r="B188" i="37"/>
  <c r="B189" i="37"/>
  <c r="B190" i="37"/>
  <c r="B191" i="37"/>
  <c r="B192" i="37"/>
  <c r="B193" i="37"/>
  <c r="B194" i="37"/>
  <c r="B195" i="37"/>
  <c r="B196" i="37"/>
  <c r="B197" i="37"/>
  <c r="B198" i="37"/>
  <c r="B199" i="37"/>
  <c r="B200" i="37"/>
  <c r="B201" i="37"/>
  <c r="B202" i="37"/>
  <c r="B203" i="37"/>
  <c r="B204" i="37"/>
  <c r="B205" i="37"/>
  <c r="B206" i="37"/>
  <c r="B207" i="37"/>
  <c r="B208" i="37"/>
  <c r="B209" i="37"/>
  <c r="B210" i="37"/>
  <c r="B211" i="37"/>
  <c r="B212" i="37"/>
  <c r="B213" i="37"/>
  <c r="B214" i="37"/>
  <c r="B215" i="37"/>
  <c r="B216" i="37"/>
  <c r="B217" i="37"/>
  <c r="B218" i="37"/>
  <c r="B219" i="37"/>
  <c r="B220" i="37"/>
  <c r="B221" i="37"/>
  <c r="B222" i="37"/>
  <c r="B223" i="37"/>
  <c r="B224" i="37"/>
  <c r="B225" i="37"/>
  <c r="B226" i="37"/>
  <c r="B227" i="37"/>
  <c r="B228" i="37"/>
  <c r="B229" i="37"/>
  <c r="B230" i="37"/>
  <c r="B231" i="37"/>
  <c r="B232" i="37"/>
  <c r="B233" i="37"/>
  <c r="B234" i="37"/>
  <c r="B235" i="37"/>
  <c r="B236" i="37"/>
  <c r="B237" i="37"/>
  <c r="B238" i="37"/>
  <c r="W128" i="37"/>
  <c r="W129" i="37"/>
  <c r="W130" i="37"/>
  <c r="W131" i="37"/>
  <c r="W132" i="37"/>
  <c r="W133" i="37"/>
  <c r="W134" i="37"/>
  <c r="W135" i="37"/>
  <c r="W136" i="37"/>
  <c r="W137" i="37"/>
  <c r="W138" i="37"/>
  <c r="W139" i="37"/>
  <c r="W140" i="37"/>
  <c r="W141" i="37"/>
  <c r="W142" i="37"/>
  <c r="W143" i="37"/>
  <c r="W144" i="37"/>
  <c r="W145" i="37"/>
  <c r="W146" i="37"/>
  <c r="W147" i="37"/>
  <c r="W148" i="37"/>
  <c r="W149" i="37"/>
  <c r="W150" i="37"/>
  <c r="W151" i="37"/>
  <c r="W152" i="37"/>
  <c r="W153" i="37"/>
  <c r="W154" i="37"/>
  <c r="W155" i="37"/>
  <c r="W156" i="37"/>
  <c r="W157" i="37"/>
  <c r="W158" i="37"/>
  <c r="W159" i="37"/>
  <c r="W160" i="37"/>
  <c r="W161" i="37"/>
  <c r="W162" i="37"/>
  <c r="W163" i="37"/>
  <c r="W164" i="37"/>
  <c r="W165" i="37"/>
  <c r="W166" i="37"/>
  <c r="W167" i="37"/>
  <c r="W168" i="37"/>
  <c r="W169" i="37"/>
  <c r="W170" i="37"/>
  <c r="W171" i="37"/>
  <c r="W172" i="37"/>
  <c r="W173" i="37"/>
  <c r="W174" i="37"/>
  <c r="W175" i="37"/>
  <c r="W176" i="37"/>
  <c r="W177" i="37"/>
  <c r="W178" i="37"/>
  <c r="W179" i="37"/>
  <c r="W180" i="37"/>
  <c r="W181" i="37"/>
  <c r="W182" i="37"/>
  <c r="W183" i="37"/>
  <c r="W184" i="37"/>
  <c r="W185" i="37"/>
  <c r="W186" i="37"/>
  <c r="W187" i="37"/>
  <c r="W188" i="37"/>
  <c r="W189" i="37"/>
  <c r="W190" i="37"/>
  <c r="W191" i="37"/>
  <c r="W192" i="37"/>
  <c r="W193" i="37"/>
  <c r="W194" i="37"/>
  <c r="W195" i="37"/>
  <c r="W196" i="37"/>
  <c r="W197" i="37"/>
  <c r="W198" i="37"/>
  <c r="W199" i="37"/>
  <c r="W200" i="37"/>
  <c r="W201" i="37"/>
  <c r="W202" i="37"/>
  <c r="W203" i="37"/>
  <c r="W204" i="37"/>
  <c r="W205" i="37"/>
  <c r="W206" i="37"/>
  <c r="W207" i="37"/>
  <c r="W208" i="37"/>
  <c r="W209" i="37"/>
  <c r="W210" i="37"/>
  <c r="W211" i="37"/>
  <c r="W212" i="37"/>
  <c r="W213" i="37"/>
  <c r="W214" i="37"/>
  <c r="W215" i="37"/>
  <c r="W216" i="37"/>
  <c r="W217" i="37"/>
  <c r="W218" i="37"/>
  <c r="W219" i="37"/>
  <c r="W220" i="37"/>
  <c r="W221" i="37"/>
  <c r="W222" i="37"/>
  <c r="W223" i="37"/>
  <c r="W224" i="37"/>
  <c r="W225" i="37"/>
  <c r="W226" i="37"/>
  <c r="W227" i="37"/>
  <c r="W228" i="37"/>
  <c r="W229" i="37"/>
  <c r="W230" i="37"/>
  <c r="W231" i="37"/>
  <c r="W232" i="37"/>
  <c r="W233" i="37"/>
  <c r="W234" i="37"/>
  <c r="W235" i="37"/>
  <c r="W236" i="37"/>
  <c r="W237" i="37"/>
  <c r="W238" i="37"/>
  <c r="E128" i="37"/>
  <c r="E129" i="37"/>
  <c r="E130" i="37"/>
  <c r="E131" i="37"/>
  <c r="E132" i="37"/>
  <c r="E133" i="37"/>
  <c r="E134" i="37"/>
  <c r="E135" i="37"/>
  <c r="E136" i="37"/>
  <c r="E137" i="37"/>
  <c r="E138" i="37"/>
  <c r="E139" i="37"/>
  <c r="E140" i="37"/>
  <c r="E141" i="37"/>
  <c r="E142" i="37"/>
  <c r="E143" i="37"/>
  <c r="E144" i="37"/>
  <c r="E145" i="37"/>
  <c r="E146" i="37"/>
  <c r="E147" i="37"/>
  <c r="E148" i="37"/>
  <c r="E149" i="37"/>
  <c r="E150" i="37"/>
  <c r="E151" i="37"/>
  <c r="E152" i="37"/>
  <c r="E153" i="37"/>
  <c r="E154" i="37"/>
  <c r="E155" i="37"/>
  <c r="E156" i="37"/>
  <c r="E157" i="37"/>
  <c r="E158" i="37"/>
  <c r="E159" i="37"/>
  <c r="E160" i="37"/>
  <c r="E161" i="37"/>
  <c r="E162" i="37"/>
  <c r="E163" i="37"/>
  <c r="E164" i="37"/>
  <c r="E165" i="37"/>
  <c r="E166" i="37"/>
  <c r="E167" i="37"/>
  <c r="E168" i="37"/>
  <c r="E169" i="37"/>
  <c r="E170" i="37"/>
  <c r="E171" i="37"/>
  <c r="E172" i="37"/>
  <c r="E173" i="37"/>
  <c r="E174" i="37"/>
  <c r="E175" i="37"/>
  <c r="E176" i="37"/>
  <c r="E177" i="37"/>
  <c r="E178" i="37"/>
  <c r="E179" i="37"/>
  <c r="E180" i="37"/>
  <c r="E181" i="37"/>
  <c r="E182" i="37"/>
  <c r="E183" i="37"/>
  <c r="E184" i="37"/>
  <c r="E185" i="37"/>
  <c r="E186" i="37"/>
  <c r="E187" i="37"/>
  <c r="E188" i="37"/>
  <c r="E189" i="37"/>
  <c r="E190" i="37"/>
  <c r="E191" i="37"/>
  <c r="E192" i="37"/>
  <c r="E193" i="37"/>
  <c r="E194" i="37"/>
  <c r="E195" i="37"/>
  <c r="E196" i="37"/>
  <c r="E197" i="37"/>
  <c r="E198" i="37"/>
  <c r="E199" i="37"/>
  <c r="E200" i="37"/>
  <c r="E201" i="37"/>
  <c r="E202" i="37"/>
  <c r="E203" i="37"/>
  <c r="E204" i="37"/>
  <c r="E205" i="37"/>
  <c r="E206" i="37"/>
  <c r="E207" i="37"/>
  <c r="E208" i="37"/>
  <c r="E209" i="37"/>
  <c r="E210" i="37"/>
  <c r="E211" i="37"/>
  <c r="E212" i="37"/>
  <c r="E213" i="37"/>
  <c r="E214" i="37"/>
  <c r="E215" i="37"/>
  <c r="E216" i="37"/>
  <c r="E217" i="37"/>
  <c r="E218" i="37"/>
  <c r="E219" i="37"/>
  <c r="E220" i="37"/>
  <c r="E221" i="37"/>
  <c r="E222" i="37"/>
  <c r="E223" i="37"/>
  <c r="E224" i="37"/>
  <c r="E225" i="37"/>
  <c r="E226" i="37"/>
  <c r="E227" i="37"/>
  <c r="E228" i="37"/>
  <c r="E229" i="37"/>
  <c r="E230" i="37"/>
  <c r="E231" i="37"/>
  <c r="E232" i="37"/>
  <c r="E233" i="37"/>
  <c r="E234" i="37"/>
  <c r="E235" i="37"/>
  <c r="E236" i="37"/>
  <c r="E237" i="37"/>
  <c r="E238" i="37"/>
  <c r="Z128" i="37"/>
  <c r="Z129" i="37"/>
  <c r="Z130" i="37"/>
  <c r="Z131" i="37"/>
  <c r="Z132" i="37"/>
  <c r="Z133" i="37"/>
  <c r="Z134" i="37"/>
  <c r="Z135" i="37"/>
  <c r="Z136" i="37"/>
  <c r="Z137" i="37"/>
  <c r="Z138" i="37"/>
  <c r="Z139" i="37"/>
  <c r="Z140" i="37"/>
  <c r="Z141" i="37"/>
  <c r="Z142" i="37"/>
  <c r="Z143" i="37"/>
  <c r="Z144" i="37"/>
  <c r="Z145" i="37"/>
  <c r="Z146" i="37"/>
  <c r="Z147" i="37"/>
  <c r="Z148" i="37"/>
  <c r="Z149" i="37"/>
  <c r="Z150" i="37"/>
  <c r="Z151" i="37"/>
  <c r="Z152" i="37"/>
  <c r="Z153" i="37"/>
  <c r="Z154" i="37"/>
  <c r="Z155" i="37"/>
  <c r="Z156" i="37"/>
  <c r="Z157" i="37"/>
  <c r="Z158" i="37"/>
  <c r="Z159" i="37"/>
  <c r="Z160" i="37"/>
  <c r="Z161" i="37"/>
  <c r="Z162" i="37"/>
  <c r="Z163" i="37"/>
  <c r="Z164" i="37"/>
  <c r="Z165" i="37"/>
  <c r="Z166" i="37"/>
  <c r="Z167" i="37"/>
  <c r="Z168" i="37"/>
  <c r="Z169" i="37"/>
  <c r="Z170" i="37"/>
  <c r="Z171" i="37"/>
  <c r="Z172" i="37"/>
  <c r="Z173" i="37"/>
  <c r="Z174" i="37"/>
  <c r="Z175" i="37"/>
  <c r="Z176" i="37"/>
  <c r="Z177" i="37"/>
  <c r="Z178" i="37"/>
  <c r="Z179" i="37"/>
  <c r="Z180" i="37"/>
  <c r="Z181" i="37"/>
  <c r="Z182" i="37"/>
  <c r="Z183" i="37"/>
  <c r="Z184" i="37"/>
  <c r="Z185" i="37"/>
  <c r="Z186" i="37"/>
  <c r="Z187" i="37"/>
  <c r="Z188" i="37"/>
  <c r="Z189" i="37"/>
  <c r="Z190" i="37"/>
  <c r="Z191" i="37"/>
  <c r="Z192" i="37"/>
  <c r="Z193" i="37"/>
  <c r="Z194" i="37"/>
  <c r="Z195" i="37"/>
  <c r="Z196" i="37"/>
  <c r="Z197" i="37"/>
  <c r="Z198" i="37"/>
  <c r="Z199" i="37"/>
  <c r="Z200" i="37"/>
  <c r="Z201" i="37"/>
  <c r="Z202" i="37"/>
  <c r="Z203" i="37"/>
  <c r="Z204" i="37"/>
  <c r="Z205" i="37"/>
  <c r="Z206" i="37"/>
  <c r="Z207" i="37"/>
  <c r="Z208" i="37"/>
  <c r="Z209" i="37"/>
  <c r="Z210" i="37"/>
  <c r="Z211" i="37"/>
  <c r="Z212" i="37"/>
  <c r="Z213" i="37"/>
  <c r="Z214" i="37"/>
  <c r="Z215" i="37"/>
  <c r="Z216" i="37"/>
  <c r="Z217" i="37"/>
  <c r="Z218" i="37"/>
  <c r="Z219" i="37"/>
  <c r="Z220" i="37"/>
  <c r="Z221" i="37"/>
  <c r="Z222" i="37"/>
  <c r="Z223" i="37"/>
  <c r="Z224" i="37"/>
  <c r="Z225" i="37"/>
  <c r="Z226" i="37"/>
  <c r="Z227" i="37"/>
  <c r="Z228" i="37"/>
  <c r="Z229" i="37"/>
  <c r="Z230" i="37"/>
  <c r="Z231" i="37"/>
  <c r="Z232" i="37"/>
  <c r="Z233" i="37"/>
  <c r="Z234" i="37"/>
  <c r="Z235" i="37"/>
  <c r="Z236" i="37"/>
  <c r="Z237" i="37"/>
  <c r="Z238" i="37"/>
  <c r="T128" i="37"/>
  <c r="T129" i="37"/>
  <c r="T130" i="37"/>
  <c r="T131" i="37"/>
  <c r="T132" i="37"/>
  <c r="T133" i="37"/>
  <c r="T134" i="37"/>
  <c r="T135" i="37"/>
  <c r="T136" i="37"/>
  <c r="T137" i="37"/>
  <c r="T138" i="37"/>
  <c r="T139" i="37"/>
  <c r="T140" i="37"/>
  <c r="T141" i="37"/>
  <c r="T142" i="37"/>
  <c r="T143" i="37"/>
  <c r="T144" i="37"/>
  <c r="T145" i="37"/>
  <c r="T146" i="37"/>
  <c r="T147" i="37"/>
  <c r="T148" i="37"/>
  <c r="T149" i="37"/>
  <c r="T150" i="37"/>
  <c r="T151" i="37"/>
  <c r="T152" i="37"/>
  <c r="T153" i="37"/>
  <c r="T154" i="37"/>
  <c r="T155" i="37"/>
  <c r="T156" i="37"/>
  <c r="T157" i="37"/>
  <c r="T158" i="37"/>
  <c r="T159" i="37"/>
  <c r="T160" i="37"/>
  <c r="T161" i="37"/>
  <c r="T162" i="37"/>
  <c r="T163" i="37"/>
  <c r="T164" i="37"/>
  <c r="T165" i="37"/>
  <c r="T166" i="37"/>
  <c r="T167" i="37"/>
  <c r="T168" i="37"/>
  <c r="T169" i="37"/>
  <c r="T170" i="37"/>
  <c r="T171" i="37"/>
  <c r="T172" i="37"/>
  <c r="T173" i="37"/>
  <c r="T174" i="37"/>
  <c r="T175" i="37"/>
  <c r="T176" i="37"/>
  <c r="T177" i="37"/>
  <c r="T178" i="37"/>
  <c r="T179" i="37"/>
  <c r="T180" i="37"/>
  <c r="T181" i="37"/>
  <c r="T182" i="37"/>
  <c r="T183" i="37"/>
  <c r="T184" i="37"/>
  <c r="T185" i="37"/>
  <c r="T186" i="37"/>
  <c r="T187" i="37"/>
  <c r="T188" i="37"/>
  <c r="T189" i="37"/>
  <c r="T190" i="37"/>
  <c r="T191" i="37"/>
  <c r="T192" i="37"/>
  <c r="T193" i="37"/>
  <c r="T194" i="37"/>
  <c r="T195" i="37"/>
  <c r="T196" i="37"/>
  <c r="T197" i="37"/>
  <c r="T198" i="37"/>
  <c r="T199" i="37"/>
  <c r="T200" i="37"/>
  <c r="T201" i="37"/>
  <c r="T202" i="37"/>
  <c r="T203" i="37"/>
  <c r="T204" i="37"/>
  <c r="T205" i="37"/>
  <c r="T206" i="37"/>
  <c r="T207" i="37"/>
  <c r="T208" i="37"/>
  <c r="T209" i="37"/>
  <c r="T210" i="37"/>
  <c r="T211" i="37"/>
  <c r="T212" i="37"/>
  <c r="T213" i="37"/>
  <c r="T214" i="37"/>
  <c r="T215" i="37"/>
  <c r="T216" i="37"/>
  <c r="T217" i="37"/>
  <c r="T218" i="37"/>
  <c r="T219" i="37"/>
  <c r="T220" i="37"/>
  <c r="T221" i="37"/>
  <c r="T222" i="37"/>
  <c r="T223" i="37"/>
  <c r="T224" i="37"/>
  <c r="T225" i="37"/>
  <c r="T226" i="37"/>
  <c r="T227" i="37"/>
  <c r="T228" i="37"/>
  <c r="T229" i="37"/>
  <c r="T230" i="37"/>
  <c r="T231" i="37"/>
  <c r="T232" i="37"/>
  <c r="T233" i="37"/>
  <c r="T234" i="37"/>
  <c r="T235" i="37"/>
  <c r="T236" i="37"/>
  <c r="T237" i="37"/>
  <c r="T238" i="37"/>
  <c r="P27" i="38"/>
  <c r="L40" i="37"/>
  <c r="J7" i="38"/>
  <c r="K7" i="38"/>
  <c r="H20" i="37"/>
  <c r="T7" i="38"/>
  <c r="S7" i="38"/>
  <c r="O20" i="37"/>
  <c r="AJ7" i="38"/>
  <c r="AA20" i="37"/>
  <c r="H27" i="38"/>
  <c r="F40" i="37"/>
  <c r="AB77" i="38"/>
  <c r="U90" i="37"/>
  <c r="Z7" i="38"/>
  <c r="W7" i="38"/>
  <c r="T177" i="38"/>
  <c r="O190" i="37"/>
  <c r="AJ177" i="38"/>
  <c r="AA190" i="37"/>
  <c r="C20" i="37"/>
  <c r="I20" i="37"/>
  <c r="Q20" i="37"/>
  <c r="U40" i="37"/>
  <c r="AA40" i="37"/>
  <c r="K20" i="37"/>
  <c r="R20" i="37"/>
  <c r="X20" i="37"/>
  <c r="C40" i="37"/>
  <c r="I40" i="37"/>
  <c r="O40" i="37"/>
  <c r="H77" i="38"/>
  <c r="F90" i="37"/>
  <c r="O90" i="37"/>
  <c r="AB177" i="38"/>
  <c r="U190" i="37"/>
  <c r="I140" i="37"/>
  <c r="F14" i="38"/>
  <c r="C140" i="37"/>
  <c r="F190" i="37"/>
  <c r="L190" i="37"/>
  <c r="R190" i="37"/>
  <c r="X190" i="37"/>
  <c r="AE6" i="38"/>
  <c r="B10" i="38"/>
  <c r="AD5" i="38"/>
  <c r="AH6" i="38"/>
  <c r="AI6" i="38"/>
  <c r="I91" i="37"/>
  <c r="L79" i="38"/>
  <c r="D14" i="36"/>
  <c r="E14" i="36"/>
  <c r="R8" i="38"/>
  <c r="X41" i="37"/>
  <c r="AF29" i="38"/>
  <c r="F21" i="37"/>
  <c r="H9" i="38"/>
  <c r="G9" i="38"/>
  <c r="U20" i="37"/>
  <c r="AB8" i="38"/>
  <c r="C91" i="37"/>
  <c r="C92" i="37"/>
  <c r="AJ78" i="38"/>
  <c r="AA91" i="37"/>
  <c r="B11" i="38"/>
  <c r="H178" i="38"/>
  <c r="F191" i="37"/>
  <c r="L128" i="38"/>
  <c r="I141" i="37"/>
  <c r="H78" i="38"/>
  <c r="F91" i="37"/>
  <c r="D28" i="38"/>
  <c r="C41" i="37"/>
  <c r="AJ28" i="38"/>
  <c r="AA41" i="37"/>
  <c r="D8" i="38"/>
  <c r="C8" i="38"/>
  <c r="C21" i="37"/>
  <c r="AJ8" i="38"/>
  <c r="AA21" i="37"/>
  <c r="H21" i="37"/>
  <c r="J8" i="38"/>
  <c r="P28" i="38"/>
  <c r="L41" i="37"/>
  <c r="AE5" i="38"/>
  <c r="AH5" i="38"/>
  <c r="AI5" i="38"/>
  <c r="P178" i="38"/>
  <c r="L191" i="37"/>
  <c r="T78" i="38"/>
  <c r="O91" i="37"/>
  <c r="N8" i="38"/>
  <c r="O8" i="38"/>
  <c r="K21" i="37"/>
  <c r="T178" i="38"/>
  <c r="O191" i="37"/>
  <c r="AB78" i="38"/>
  <c r="U91" i="37"/>
  <c r="H28" i="38"/>
  <c r="F41" i="37"/>
  <c r="AF8" i="38"/>
  <c r="X21" i="37"/>
  <c r="L28" i="38"/>
  <c r="I41" i="37"/>
  <c r="L8" i="38"/>
  <c r="I21" i="37"/>
  <c r="R9" i="38"/>
  <c r="N22" i="37"/>
  <c r="AF178" i="38"/>
  <c r="X191" i="37"/>
  <c r="D128" i="38"/>
  <c r="C141" i="37"/>
  <c r="AB178" i="38"/>
  <c r="U191" i="37"/>
  <c r="AB28" i="38"/>
  <c r="U41" i="37"/>
  <c r="AJ178" i="38"/>
  <c r="AA191" i="37"/>
  <c r="X178" i="38"/>
  <c r="R191" i="37"/>
  <c r="F15" i="38"/>
  <c r="T28" i="38"/>
  <c r="O41" i="37"/>
  <c r="X8" i="38"/>
  <c r="R21" i="37"/>
  <c r="V8" i="38"/>
  <c r="Q21" i="37"/>
  <c r="AA7" i="38"/>
  <c r="AD7" i="38"/>
  <c r="T8" i="38"/>
  <c r="O21" i="37"/>
  <c r="X42" i="37"/>
  <c r="S8" i="38"/>
  <c r="I92" i="37"/>
  <c r="I93" i="37"/>
  <c r="U21" i="37"/>
  <c r="U22" i="37"/>
  <c r="D79" i="38"/>
  <c r="F22" i="37"/>
  <c r="H10" i="38"/>
  <c r="G10" i="38"/>
  <c r="K8" i="38"/>
  <c r="AJ79" i="38"/>
  <c r="AA92" i="37"/>
  <c r="AB179" i="38"/>
  <c r="U192" i="37"/>
  <c r="F16" i="38"/>
  <c r="D29" i="38"/>
  <c r="C42" i="37"/>
  <c r="B12" i="38"/>
  <c r="T9" i="38"/>
  <c r="S9" i="38"/>
  <c r="O22" i="37"/>
  <c r="T29" i="38"/>
  <c r="O42" i="37"/>
  <c r="AF30" i="38"/>
  <c r="X43" i="37"/>
  <c r="AF179" i="38"/>
  <c r="X192" i="37"/>
  <c r="AF9" i="38"/>
  <c r="X22" i="37"/>
  <c r="P179" i="38"/>
  <c r="L192" i="37"/>
  <c r="P29" i="38"/>
  <c r="L42" i="37"/>
  <c r="AJ29" i="38"/>
  <c r="AA42" i="37"/>
  <c r="H179" i="38"/>
  <c r="F192" i="37"/>
  <c r="D9" i="38"/>
  <c r="C9" i="38"/>
  <c r="C22" i="37"/>
  <c r="L129" i="38"/>
  <c r="I142" i="37"/>
  <c r="D80" i="38"/>
  <c r="C93" i="37"/>
  <c r="V9" i="38"/>
  <c r="Q22" i="37"/>
  <c r="X179" i="38"/>
  <c r="R192" i="37"/>
  <c r="AB29" i="38"/>
  <c r="U42" i="37"/>
  <c r="L9" i="38"/>
  <c r="I22" i="37"/>
  <c r="AB79" i="38"/>
  <c r="U92" i="37"/>
  <c r="N9" i="38"/>
  <c r="O9" i="38"/>
  <c r="K22" i="37"/>
  <c r="J9" i="38"/>
  <c r="H22" i="37"/>
  <c r="W8" i="38"/>
  <c r="Z8" i="38"/>
  <c r="AJ9" i="38"/>
  <c r="AA22" i="37"/>
  <c r="H79" i="38"/>
  <c r="F92" i="37"/>
  <c r="AE7" i="38"/>
  <c r="AH7" i="38"/>
  <c r="AI7" i="38"/>
  <c r="X9" i="38"/>
  <c r="R22" i="37"/>
  <c r="AJ179" i="38"/>
  <c r="AA192" i="37"/>
  <c r="D129" i="38"/>
  <c r="C142" i="37"/>
  <c r="R10" i="38"/>
  <c r="N23" i="37"/>
  <c r="L29" i="38"/>
  <c r="I42" i="37"/>
  <c r="H29" i="38"/>
  <c r="F42" i="37"/>
  <c r="T179" i="38"/>
  <c r="O192" i="37"/>
  <c r="T79" i="38"/>
  <c r="O92" i="37"/>
  <c r="AB9" i="38"/>
  <c r="L80" i="38"/>
  <c r="F23" i="37"/>
  <c r="H11" i="38"/>
  <c r="G11" i="38"/>
  <c r="K9" i="38"/>
  <c r="AJ80" i="38"/>
  <c r="AA93" i="37"/>
  <c r="D30" i="38"/>
  <c r="C43" i="37"/>
  <c r="B13" i="38"/>
  <c r="T80" i="38"/>
  <c r="O93" i="37"/>
  <c r="R11" i="38"/>
  <c r="N24" i="37"/>
  <c r="H80" i="38"/>
  <c r="F93" i="37"/>
  <c r="L10" i="38"/>
  <c r="I23" i="37"/>
  <c r="D81" i="38"/>
  <c r="C94" i="37"/>
  <c r="D10" i="38"/>
  <c r="C10" i="38"/>
  <c r="C23" i="37"/>
  <c r="P30" i="38"/>
  <c r="L43" i="37"/>
  <c r="AF31" i="38"/>
  <c r="X44" i="37"/>
  <c r="T10" i="38"/>
  <c r="S10" i="38"/>
  <c r="O23" i="37"/>
  <c r="AB180" i="38"/>
  <c r="U193" i="37"/>
  <c r="W9" i="38"/>
  <c r="Z9" i="38"/>
  <c r="H30" i="38"/>
  <c r="F43" i="37"/>
  <c r="AA8" i="38"/>
  <c r="AD8" i="38"/>
  <c r="N10" i="38"/>
  <c r="O10" i="38"/>
  <c r="K23" i="37"/>
  <c r="X180" i="38"/>
  <c r="R193" i="37"/>
  <c r="H180" i="38"/>
  <c r="F193" i="37"/>
  <c r="AF10" i="38"/>
  <c r="X23" i="37"/>
  <c r="F17" i="38"/>
  <c r="T180" i="38"/>
  <c r="O193" i="37"/>
  <c r="L30" i="38"/>
  <c r="I43" i="37"/>
  <c r="D130" i="38"/>
  <c r="C143" i="37"/>
  <c r="AJ180" i="38"/>
  <c r="AA193" i="37"/>
  <c r="X10" i="38"/>
  <c r="R23" i="37"/>
  <c r="AB10" i="38"/>
  <c r="U23" i="37"/>
  <c r="AJ10" i="38"/>
  <c r="AA23" i="37"/>
  <c r="J10" i="38"/>
  <c r="H23" i="37"/>
  <c r="AB80" i="38"/>
  <c r="U93" i="37"/>
  <c r="AB30" i="38"/>
  <c r="U43" i="37"/>
  <c r="V10" i="38"/>
  <c r="Q23" i="37"/>
  <c r="L130" i="38"/>
  <c r="I143" i="37"/>
  <c r="L81" i="38"/>
  <c r="I94" i="37"/>
  <c r="AJ30" i="38"/>
  <c r="AA43" i="37"/>
  <c r="P180" i="38"/>
  <c r="L193" i="37"/>
  <c r="AF180" i="38"/>
  <c r="X193" i="37"/>
  <c r="T30" i="38"/>
  <c r="O43" i="37"/>
  <c r="F24" i="37"/>
  <c r="F25" i="37"/>
  <c r="K10" i="38"/>
  <c r="AJ81" i="38"/>
  <c r="AA94" i="37"/>
  <c r="T181" i="38"/>
  <c r="O194" i="37"/>
  <c r="D11" i="38"/>
  <c r="C11" i="38"/>
  <c r="C24" i="37"/>
  <c r="D31" i="38"/>
  <c r="C44" i="37"/>
  <c r="P181" i="38"/>
  <c r="L194" i="37"/>
  <c r="V11" i="38"/>
  <c r="Q24" i="37"/>
  <c r="AJ11" i="38"/>
  <c r="AA24" i="37"/>
  <c r="D131" i="38"/>
  <c r="C144" i="37"/>
  <c r="X181" i="38"/>
  <c r="R194" i="37"/>
  <c r="AD9" i="38"/>
  <c r="AA9" i="38"/>
  <c r="T11" i="38"/>
  <c r="S11" i="38"/>
  <c r="O24" i="37"/>
  <c r="P31" i="38"/>
  <c r="L44" i="37"/>
  <c r="D82" i="38"/>
  <c r="C95" i="37"/>
  <c r="H81" i="38"/>
  <c r="F94" i="37"/>
  <c r="R12" i="38"/>
  <c r="N25" i="37"/>
  <c r="AF32" i="38"/>
  <c r="X45" i="37"/>
  <c r="L11" i="38"/>
  <c r="I24" i="37"/>
  <c r="T81" i="38"/>
  <c r="O94" i="37"/>
  <c r="T31" i="38"/>
  <c r="O44" i="37"/>
  <c r="L82" i="38"/>
  <c r="I95" i="37"/>
  <c r="AB81" i="38"/>
  <c r="U94" i="37"/>
  <c r="X11" i="38"/>
  <c r="R24" i="37"/>
  <c r="AF11" i="38"/>
  <c r="X24" i="37"/>
  <c r="AH8" i="38"/>
  <c r="AI8" i="38"/>
  <c r="AE8" i="38"/>
  <c r="Z10" i="38"/>
  <c r="W10" i="38"/>
  <c r="AF181" i="38"/>
  <c r="X194" i="37"/>
  <c r="AJ31" i="38"/>
  <c r="AA44" i="37"/>
  <c r="L131" i="38"/>
  <c r="I144" i="37"/>
  <c r="AB31" i="38"/>
  <c r="U44" i="37"/>
  <c r="J11" i="38"/>
  <c r="H24" i="37"/>
  <c r="AB11" i="38"/>
  <c r="U24" i="37"/>
  <c r="AJ181" i="38"/>
  <c r="AA194" i="37"/>
  <c r="L31" i="38"/>
  <c r="I44" i="37"/>
  <c r="F18" i="38"/>
  <c r="H181" i="38"/>
  <c r="F194" i="37"/>
  <c r="N11" i="38"/>
  <c r="O11" i="38"/>
  <c r="K24" i="37"/>
  <c r="H31" i="38"/>
  <c r="F44" i="37"/>
  <c r="AB181" i="38"/>
  <c r="U194" i="37"/>
  <c r="B14" i="38"/>
  <c r="H12" i="38"/>
  <c r="G12" i="38"/>
  <c r="AJ82" i="38"/>
  <c r="AA95" i="37"/>
  <c r="H182" i="38"/>
  <c r="F195" i="37"/>
  <c r="AJ32" i="38"/>
  <c r="AA45" i="37"/>
  <c r="H82" i="38"/>
  <c r="F95" i="37"/>
  <c r="AB12" i="38"/>
  <c r="U25" i="37"/>
  <c r="AB82" i="38"/>
  <c r="U95" i="37"/>
  <c r="V12" i="38"/>
  <c r="Q25" i="37"/>
  <c r="D12" i="38"/>
  <c r="C12" i="38"/>
  <c r="C25" i="37"/>
  <c r="AH9" i="38"/>
  <c r="AI9" i="38"/>
  <c r="AE9" i="38"/>
  <c r="Z11" i="38"/>
  <c r="W11" i="38"/>
  <c r="AB182" i="38"/>
  <c r="U195" i="37"/>
  <c r="F19" i="38"/>
  <c r="J12" i="38"/>
  <c r="H25" i="37"/>
  <c r="L132" i="38"/>
  <c r="I145" i="37"/>
  <c r="AF182" i="38"/>
  <c r="X195" i="37"/>
  <c r="X12" i="38"/>
  <c r="R25" i="37"/>
  <c r="L83" i="38"/>
  <c r="I96" i="37"/>
  <c r="T82" i="38"/>
  <c r="O95" i="37"/>
  <c r="AF33" i="38"/>
  <c r="X46" i="37"/>
  <c r="R13" i="38"/>
  <c r="N26" i="37"/>
  <c r="D83" i="38"/>
  <c r="C96" i="37"/>
  <c r="T12" i="38"/>
  <c r="S12" i="38"/>
  <c r="O25" i="37"/>
  <c r="X182" i="38"/>
  <c r="R195" i="37"/>
  <c r="AJ12" i="38"/>
  <c r="AA25" i="37"/>
  <c r="P182" i="38"/>
  <c r="L195" i="37"/>
  <c r="H13" i="38"/>
  <c r="G13" i="38"/>
  <c r="F26" i="37"/>
  <c r="T182" i="38"/>
  <c r="O195" i="37"/>
  <c r="H32" i="38"/>
  <c r="F45" i="37"/>
  <c r="L32" i="38"/>
  <c r="I45" i="37"/>
  <c r="AB32" i="38"/>
  <c r="U45" i="37"/>
  <c r="AF12" i="38"/>
  <c r="X25" i="37"/>
  <c r="T32" i="38"/>
  <c r="O45" i="37"/>
  <c r="L12" i="38"/>
  <c r="I25" i="37"/>
  <c r="P32" i="38"/>
  <c r="L45" i="37"/>
  <c r="D132" i="38"/>
  <c r="C145" i="37"/>
  <c r="D32" i="38"/>
  <c r="C45" i="37"/>
  <c r="AD10" i="38"/>
  <c r="AA10" i="38"/>
  <c r="N12" i="38"/>
  <c r="O12" i="38"/>
  <c r="K25" i="37"/>
  <c r="AJ182" i="38"/>
  <c r="AA195" i="37"/>
  <c r="B15" i="38"/>
  <c r="K11" i="38"/>
  <c r="AJ83" i="38"/>
  <c r="AA96" i="37"/>
  <c r="B16" i="38"/>
  <c r="P33" i="38"/>
  <c r="L46" i="37"/>
  <c r="H33" i="38"/>
  <c r="F46" i="37"/>
  <c r="AJ13" i="38"/>
  <c r="AA26" i="37"/>
  <c r="T13" i="38"/>
  <c r="S13" i="38"/>
  <c r="O26" i="37"/>
  <c r="X13" i="38"/>
  <c r="R26" i="37"/>
  <c r="D13" i="38"/>
  <c r="C13" i="38"/>
  <c r="C26" i="37"/>
  <c r="AB13" i="38"/>
  <c r="U26" i="37"/>
  <c r="F20" i="38"/>
  <c r="AA11" i="38"/>
  <c r="AD11" i="38"/>
  <c r="D33" i="38"/>
  <c r="C46" i="37"/>
  <c r="T33" i="38"/>
  <c r="O46" i="37"/>
  <c r="H14" i="38"/>
  <c r="G14" i="38"/>
  <c r="F27" i="37"/>
  <c r="R14" i="38"/>
  <c r="N27" i="37"/>
  <c r="L133" i="38"/>
  <c r="I146" i="37"/>
  <c r="AJ33" i="38"/>
  <c r="AA46" i="37"/>
  <c r="AJ183" i="38"/>
  <c r="AA196" i="37"/>
  <c r="D133" i="38"/>
  <c r="C146" i="37"/>
  <c r="L13" i="38"/>
  <c r="I26" i="37"/>
  <c r="AF13" i="38"/>
  <c r="X26" i="37"/>
  <c r="L33" i="38"/>
  <c r="I46" i="37"/>
  <c r="T183" i="38"/>
  <c r="O196" i="37"/>
  <c r="P183" i="38"/>
  <c r="L196" i="37"/>
  <c r="X183" i="38"/>
  <c r="R196" i="37"/>
  <c r="D84" i="38"/>
  <c r="C97" i="37"/>
  <c r="AF34" i="38"/>
  <c r="X47" i="37"/>
  <c r="L84" i="38"/>
  <c r="I97" i="37"/>
  <c r="AF183" i="38"/>
  <c r="X196" i="37"/>
  <c r="J13" i="38"/>
  <c r="H26" i="37"/>
  <c r="AB183" i="38"/>
  <c r="U196" i="37"/>
  <c r="V13" i="38"/>
  <c r="Q26" i="37"/>
  <c r="AB83" i="38"/>
  <c r="U96" i="37"/>
  <c r="H83" i="38"/>
  <c r="F96" i="37"/>
  <c r="H183" i="38"/>
  <c r="F196" i="37"/>
  <c r="N13" i="38"/>
  <c r="O13" i="38"/>
  <c r="K26" i="37"/>
  <c r="AB33" i="38"/>
  <c r="U46" i="37"/>
  <c r="T83" i="38"/>
  <c r="O96" i="37"/>
  <c r="AE10" i="38"/>
  <c r="AH10" i="38"/>
  <c r="AI10" i="38"/>
  <c r="K12" i="38"/>
  <c r="W12" i="38"/>
  <c r="Z12" i="38"/>
  <c r="AJ84" i="38"/>
  <c r="AA97" i="37"/>
  <c r="K13" i="38"/>
  <c r="AB34" i="38"/>
  <c r="U47" i="37"/>
  <c r="AB84" i="38"/>
  <c r="U97" i="37"/>
  <c r="AF184" i="38"/>
  <c r="X197" i="37"/>
  <c r="X184" i="38"/>
  <c r="R197" i="37"/>
  <c r="T184" i="38"/>
  <c r="O197" i="37"/>
  <c r="AF14" i="38"/>
  <c r="X27" i="37"/>
  <c r="AJ34" i="38"/>
  <c r="AA47" i="37"/>
  <c r="R15" i="38"/>
  <c r="N28" i="37"/>
  <c r="T34" i="38"/>
  <c r="O47" i="37"/>
  <c r="AB14" i="38"/>
  <c r="U27" i="37"/>
  <c r="X14" i="38"/>
  <c r="R27" i="37"/>
  <c r="AJ14" i="38"/>
  <c r="AA27" i="37"/>
  <c r="P34" i="38"/>
  <c r="L47" i="37"/>
  <c r="AA12" i="38"/>
  <c r="AD12" i="38"/>
  <c r="F21" i="38"/>
  <c r="D14" i="38"/>
  <c r="C14" i="38"/>
  <c r="C27" i="37"/>
  <c r="T14" i="38"/>
  <c r="S14" i="38"/>
  <c r="O27" i="37"/>
  <c r="H34" i="38"/>
  <c r="F47" i="37"/>
  <c r="W13" i="38"/>
  <c r="Z13" i="38"/>
  <c r="H184" i="38"/>
  <c r="F197" i="37"/>
  <c r="AB184" i="38"/>
  <c r="U197" i="37"/>
  <c r="AF35" i="38"/>
  <c r="X48" i="37"/>
  <c r="D134" i="38"/>
  <c r="C147" i="37"/>
  <c r="T84" i="38"/>
  <c r="O97" i="37"/>
  <c r="N14" i="38"/>
  <c r="O14" i="38"/>
  <c r="K27" i="37"/>
  <c r="H84" i="38"/>
  <c r="F97" i="37"/>
  <c r="V14" i="38"/>
  <c r="Q27" i="37"/>
  <c r="J14" i="38"/>
  <c r="H27" i="37"/>
  <c r="L85" i="38"/>
  <c r="I98" i="37"/>
  <c r="D85" i="38"/>
  <c r="C98" i="37"/>
  <c r="P184" i="38"/>
  <c r="L197" i="37"/>
  <c r="L34" i="38"/>
  <c r="I47" i="37"/>
  <c r="L14" i="38"/>
  <c r="I27" i="37"/>
  <c r="AJ184" i="38"/>
  <c r="AA197" i="37"/>
  <c r="L134" i="38"/>
  <c r="I147" i="37"/>
  <c r="H15" i="38"/>
  <c r="G15" i="38"/>
  <c r="F28" i="37"/>
  <c r="D34" i="38"/>
  <c r="C47" i="37"/>
  <c r="AE11" i="38"/>
  <c r="AH11" i="38"/>
  <c r="AI11" i="38"/>
  <c r="B17" i="38"/>
  <c r="AJ85" i="38"/>
  <c r="AA98" i="37"/>
  <c r="Z14" i="38"/>
  <c r="W14" i="38"/>
  <c r="P35" i="38"/>
  <c r="L48" i="37"/>
  <c r="X15" i="38"/>
  <c r="R28" i="37"/>
  <c r="R16" i="38"/>
  <c r="N29" i="37"/>
  <c r="AF15" i="38"/>
  <c r="X28" i="37"/>
  <c r="X185" i="38"/>
  <c r="R198" i="37"/>
  <c r="AB85" i="38"/>
  <c r="U98" i="37"/>
  <c r="H16" i="38"/>
  <c r="G16" i="38"/>
  <c r="F29" i="37"/>
  <c r="AJ185" i="38"/>
  <c r="AA198" i="37"/>
  <c r="L35" i="38"/>
  <c r="I48" i="37"/>
  <c r="D86" i="38"/>
  <c r="C99" i="37"/>
  <c r="J15" i="38"/>
  <c r="H28" i="37"/>
  <c r="H85" i="38"/>
  <c r="F98" i="37"/>
  <c r="T85" i="38"/>
  <c r="O98" i="37"/>
  <c r="AF36" i="38"/>
  <c r="X49" i="37"/>
  <c r="H185" i="38"/>
  <c r="F198" i="37"/>
  <c r="H35" i="38"/>
  <c r="F48" i="37"/>
  <c r="D15" i="38"/>
  <c r="C15" i="38"/>
  <c r="C28" i="37"/>
  <c r="B18" i="38"/>
  <c r="K14" i="38"/>
  <c r="AH12" i="38"/>
  <c r="AI12" i="38"/>
  <c r="AE12" i="38"/>
  <c r="AJ15" i="38"/>
  <c r="AA28" i="37"/>
  <c r="AB15" i="38"/>
  <c r="U28" i="37"/>
  <c r="T35" i="38"/>
  <c r="O48" i="37"/>
  <c r="AJ35" i="38"/>
  <c r="AA48" i="37"/>
  <c r="T185" i="38"/>
  <c r="O198" i="37"/>
  <c r="AF185" i="38"/>
  <c r="X198" i="37"/>
  <c r="AB35" i="38"/>
  <c r="U48" i="37"/>
  <c r="D35" i="38"/>
  <c r="C48" i="37"/>
  <c r="L135" i="38"/>
  <c r="I148" i="37"/>
  <c r="L15" i="38"/>
  <c r="I28" i="37"/>
  <c r="P185" i="38"/>
  <c r="L198" i="37"/>
  <c r="L86" i="38"/>
  <c r="I99" i="37"/>
  <c r="V15" i="38"/>
  <c r="Q28" i="37"/>
  <c r="N15" i="38"/>
  <c r="O15" i="38"/>
  <c r="K28" i="37"/>
  <c r="D135" i="38"/>
  <c r="C148" i="37"/>
  <c r="AB185" i="38"/>
  <c r="U198" i="37"/>
  <c r="AD13" i="38"/>
  <c r="AA13" i="38"/>
  <c r="T15" i="38"/>
  <c r="S15" i="38"/>
  <c r="O28" i="37"/>
  <c r="F22" i="38"/>
  <c r="AJ86" i="38"/>
  <c r="AA99" i="37"/>
  <c r="N16" i="38"/>
  <c r="O16" i="38"/>
  <c r="K29" i="37"/>
  <c r="D36" i="38"/>
  <c r="C49" i="37"/>
  <c r="AB16" i="38"/>
  <c r="U29" i="37"/>
  <c r="AF16" i="38"/>
  <c r="X29" i="37"/>
  <c r="T16" i="38"/>
  <c r="O29" i="37"/>
  <c r="L87" i="38"/>
  <c r="I100" i="37"/>
  <c r="AF186" i="38"/>
  <c r="X199" i="37"/>
  <c r="AF37" i="38"/>
  <c r="X50" i="37"/>
  <c r="H86" i="38"/>
  <c r="F99" i="37"/>
  <c r="AJ186" i="38"/>
  <c r="AA199" i="37"/>
  <c r="AB86" i="38"/>
  <c r="U99" i="37"/>
  <c r="F23" i="38"/>
  <c r="D136" i="38"/>
  <c r="C149" i="37"/>
  <c r="V16" i="38"/>
  <c r="Q29" i="37"/>
  <c r="P186" i="38"/>
  <c r="L199" i="37"/>
  <c r="L136" i="38"/>
  <c r="I149" i="37"/>
  <c r="AB36" i="38"/>
  <c r="U49" i="37"/>
  <c r="T186" i="38"/>
  <c r="O199" i="37"/>
  <c r="T36" i="38"/>
  <c r="O49" i="37"/>
  <c r="AJ16" i="38"/>
  <c r="AA29" i="37"/>
  <c r="D16" i="38"/>
  <c r="C16" i="38"/>
  <c r="C29" i="37"/>
  <c r="H186" i="38"/>
  <c r="F199" i="37"/>
  <c r="T86" i="38"/>
  <c r="O99" i="37"/>
  <c r="H29" i="37"/>
  <c r="J16" i="38"/>
  <c r="L36" i="38"/>
  <c r="I49" i="37"/>
  <c r="H17" i="38"/>
  <c r="G17" i="38"/>
  <c r="F30" i="37"/>
  <c r="X186" i="38"/>
  <c r="R199" i="37"/>
  <c r="R17" i="38"/>
  <c r="N30" i="37"/>
  <c r="X16" i="38"/>
  <c r="R29" i="37"/>
  <c r="AB186" i="38"/>
  <c r="U199" i="37"/>
  <c r="L16" i="38"/>
  <c r="I29" i="37"/>
  <c r="AJ36" i="38"/>
  <c r="AA49" i="37"/>
  <c r="H36" i="38"/>
  <c r="F49" i="37"/>
  <c r="D87" i="38"/>
  <c r="C100" i="37"/>
  <c r="P36" i="38"/>
  <c r="L49" i="37"/>
  <c r="AH13" i="38"/>
  <c r="AI13" i="38"/>
  <c r="AE13" i="38"/>
  <c r="Z15" i="38"/>
  <c r="W15" i="38"/>
  <c r="B19" i="38"/>
  <c r="K15" i="38"/>
  <c r="S16" i="38"/>
  <c r="AD14" i="38"/>
  <c r="AA14" i="38"/>
  <c r="AJ87" i="38"/>
  <c r="AA100" i="37"/>
  <c r="L17" i="38"/>
  <c r="I30" i="37"/>
  <c r="T87" i="38"/>
  <c r="O100" i="37"/>
  <c r="AJ187" i="38"/>
  <c r="AA200" i="37"/>
  <c r="H37" i="38"/>
  <c r="F50" i="37"/>
  <c r="X187" i="38"/>
  <c r="R200" i="37"/>
  <c r="D17" i="38"/>
  <c r="C17" i="38"/>
  <c r="C30" i="37"/>
  <c r="AB37" i="38"/>
  <c r="U50" i="37"/>
  <c r="D137" i="38"/>
  <c r="C150" i="37"/>
  <c r="AF38" i="38"/>
  <c r="X51" i="37"/>
  <c r="D37" i="38"/>
  <c r="C50" i="37"/>
  <c r="B20" i="38"/>
  <c r="D88" i="38"/>
  <c r="C101" i="37"/>
  <c r="AJ37" i="38"/>
  <c r="AA50" i="37"/>
  <c r="AB187" i="38"/>
  <c r="U200" i="37"/>
  <c r="R18" i="38"/>
  <c r="N31" i="37"/>
  <c r="H18" i="38"/>
  <c r="G18" i="38"/>
  <c r="F31" i="37"/>
  <c r="K16" i="38"/>
  <c r="H187" i="38"/>
  <c r="F200" i="37"/>
  <c r="AA30" i="37"/>
  <c r="AJ17" i="38"/>
  <c r="T187" i="38"/>
  <c r="O200" i="37"/>
  <c r="L137" i="38"/>
  <c r="I150" i="37"/>
  <c r="V17" i="38"/>
  <c r="Q30" i="37"/>
  <c r="AB87" i="38"/>
  <c r="U100" i="37"/>
  <c r="H87" i="38"/>
  <c r="F100" i="37"/>
  <c r="AF187" i="38"/>
  <c r="X200" i="37"/>
  <c r="T17" i="38"/>
  <c r="S17" i="38"/>
  <c r="O30" i="37"/>
  <c r="AB17" i="38"/>
  <c r="U30" i="37"/>
  <c r="N17" i="38"/>
  <c r="O17" i="38"/>
  <c r="K30" i="37"/>
  <c r="P37" i="38"/>
  <c r="L50" i="37"/>
  <c r="X17" i="38"/>
  <c r="R30" i="37"/>
  <c r="L37" i="38"/>
  <c r="I50" i="37"/>
  <c r="T37" i="38"/>
  <c r="O50" i="37"/>
  <c r="P187" i="38"/>
  <c r="L200" i="37"/>
  <c r="L88" i="38"/>
  <c r="I101" i="37"/>
  <c r="AF17" i="38"/>
  <c r="X30" i="37"/>
  <c r="AA15" i="38"/>
  <c r="AD15" i="38"/>
  <c r="AE14" i="38"/>
  <c r="AH14" i="38"/>
  <c r="AI14" i="38"/>
  <c r="J17" i="38"/>
  <c r="H30" i="37"/>
  <c r="W16" i="38"/>
  <c r="Z16" i="38"/>
  <c r="F24" i="38"/>
  <c r="K17" i="38"/>
  <c r="AJ88" i="38"/>
  <c r="AA101" i="37"/>
  <c r="D89" i="38"/>
  <c r="C102" i="37"/>
  <c r="N18" i="38"/>
  <c r="O18" i="38"/>
  <c r="K31" i="37"/>
  <c r="H188" i="38"/>
  <c r="F201" i="37"/>
  <c r="AA16" i="38"/>
  <c r="AD16" i="38"/>
  <c r="AJ18" i="38"/>
  <c r="AA31" i="37"/>
  <c r="D38" i="38"/>
  <c r="C51" i="37"/>
  <c r="D18" i="38"/>
  <c r="C18" i="38"/>
  <c r="C31" i="37"/>
  <c r="H38" i="38"/>
  <c r="F51" i="37"/>
  <c r="X18" i="38"/>
  <c r="R31" i="37"/>
  <c r="H88" i="38"/>
  <c r="F101" i="37"/>
  <c r="T188" i="38"/>
  <c r="O201" i="37"/>
  <c r="J18" i="38"/>
  <c r="H31" i="37"/>
  <c r="W17" i="38"/>
  <c r="Z17" i="38"/>
  <c r="R19" i="38"/>
  <c r="N32" i="37"/>
  <c r="AJ38" i="38"/>
  <c r="AA51" i="37"/>
  <c r="AF39" i="38"/>
  <c r="X52" i="37"/>
  <c r="AB38" i="38"/>
  <c r="U51" i="37"/>
  <c r="X188" i="38"/>
  <c r="R201" i="37"/>
  <c r="AJ188" i="38"/>
  <c r="AA201" i="37"/>
  <c r="L18" i="38"/>
  <c r="I31" i="37"/>
  <c r="H19" i="38"/>
  <c r="G19" i="38"/>
  <c r="F32" i="37"/>
  <c r="AB188" i="38"/>
  <c r="U201" i="37"/>
  <c r="D138" i="38"/>
  <c r="C151" i="37"/>
  <c r="T88" i="38"/>
  <c r="O101" i="37"/>
  <c r="AF18" i="38"/>
  <c r="X31" i="37"/>
  <c r="T38" i="38"/>
  <c r="O51" i="37"/>
  <c r="T18" i="38"/>
  <c r="S18" i="38"/>
  <c r="O31" i="37"/>
  <c r="V18" i="38"/>
  <c r="Q31" i="37"/>
  <c r="F25" i="38"/>
  <c r="AE15" i="38"/>
  <c r="AH15" i="38"/>
  <c r="AI15" i="38"/>
  <c r="L89" i="38"/>
  <c r="I102" i="37"/>
  <c r="P188" i="38"/>
  <c r="L201" i="37"/>
  <c r="L38" i="38"/>
  <c r="I51" i="37"/>
  <c r="P38" i="38"/>
  <c r="L51" i="37"/>
  <c r="AB18" i="38"/>
  <c r="U31" i="37"/>
  <c r="AF188" i="38"/>
  <c r="X201" i="37"/>
  <c r="AB88" i="38"/>
  <c r="U101" i="37"/>
  <c r="L138" i="38"/>
  <c r="I151" i="37"/>
  <c r="B21" i="38"/>
  <c r="AJ89" i="38"/>
  <c r="AA102" i="37"/>
  <c r="AB19" i="38"/>
  <c r="U32" i="37"/>
  <c r="F26" i="38"/>
  <c r="D139" i="38"/>
  <c r="C152" i="37"/>
  <c r="X19" i="38"/>
  <c r="R32" i="37"/>
  <c r="AB89" i="38"/>
  <c r="U102" i="37"/>
  <c r="L39" i="38"/>
  <c r="I52" i="37"/>
  <c r="T19" i="38"/>
  <c r="S19" i="38"/>
  <c r="O32" i="37"/>
  <c r="H20" i="38"/>
  <c r="G20" i="38"/>
  <c r="F33" i="37"/>
  <c r="AB39" i="38"/>
  <c r="U52" i="37"/>
  <c r="AD17" i="38"/>
  <c r="AA17" i="38"/>
  <c r="T189" i="38"/>
  <c r="O202" i="37"/>
  <c r="D39" i="38"/>
  <c r="C52" i="37"/>
  <c r="N19" i="38"/>
  <c r="O19" i="38"/>
  <c r="K32" i="37"/>
  <c r="L139" i="38"/>
  <c r="I152" i="37"/>
  <c r="AF189" i="38"/>
  <c r="X202" i="37"/>
  <c r="P39" i="38"/>
  <c r="L52" i="37"/>
  <c r="P189" i="38"/>
  <c r="L202" i="37"/>
  <c r="V19" i="38"/>
  <c r="Q32" i="37"/>
  <c r="T39" i="38"/>
  <c r="O52" i="37"/>
  <c r="T89" i="38"/>
  <c r="O102" i="37"/>
  <c r="AB189" i="38"/>
  <c r="U202" i="37"/>
  <c r="L19" i="38"/>
  <c r="I32" i="37"/>
  <c r="X189" i="38"/>
  <c r="R202" i="37"/>
  <c r="AF40" i="38"/>
  <c r="X53" i="37"/>
  <c r="R20" i="38"/>
  <c r="N33" i="37"/>
  <c r="J19" i="38"/>
  <c r="H32" i="37"/>
  <c r="H89" i="38"/>
  <c r="F102" i="37"/>
  <c r="D19" i="38"/>
  <c r="C19" i="38"/>
  <c r="C32" i="37"/>
  <c r="AJ19" i="38"/>
  <c r="AA32" i="37"/>
  <c r="H189" i="38"/>
  <c r="F202" i="37"/>
  <c r="D90" i="38"/>
  <c r="C103" i="37"/>
  <c r="B22" i="38"/>
  <c r="L90" i="38"/>
  <c r="I103" i="37"/>
  <c r="AF19" i="38"/>
  <c r="X32" i="37"/>
  <c r="AJ189" i="38"/>
  <c r="AA202" i="37"/>
  <c r="AJ39" i="38"/>
  <c r="AA52" i="37"/>
  <c r="H39" i="38"/>
  <c r="F52" i="37"/>
  <c r="AH16" i="38"/>
  <c r="AI16" i="38"/>
  <c r="AE16" i="38"/>
  <c r="Z18" i="38"/>
  <c r="W18" i="38"/>
  <c r="K18" i="38"/>
  <c r="K19" i="38"/>
  <c r="AJ90" i="38"/>
  <c r="AA103" i="37"/>
  <c r="H40" i="38"/>
  <c r="F53" i="37"/>
  <c r="D91" i="38"/>
  <c r="C104" i="37"/>
  <c r="J20" i="38"/>
  <c r="H33" i="37"/>
  <c r="V20" i="38"/>
  <c r="Q33" i="37"/>
  <c r="AH17" i="38"/>
  <c r="AI17" i="38"/>
  <c r="AE17" i="38"/>
  <c r="L91" i="38"/>
  <c r="I104" i="37"/>
  <c r="AF41" i="38"/>
  <c r="X54" i="37"/>
  <c r="T90" i="38"/>
  <c r="O103" i="37"/>
  <c r="L140" i="38"/>
  <c r="I153" i="37"/>
  <c r="D40" i="38"/>
  <c r="C53" i="37"/>
  <c r="H21" i="38"/>
  <c r="G21" i="38"/>
  <c r="F34" i="37"/>
  <c r="X20" i="38"/>
  <c r="R33" i="37"/>
  <c r="Z19" i="38"/>
  <c r="W19" i="38"/>
  <c r="AJ40" i="38"/>
  <c r="AA53" i="37"/>
  <c r="AF20" i="38"/>
  <c r="X33" i="37"/>
  <c r="B23" i="38"/>
  <c r="H190" i="38"/>
  <c r="F203" i="37"/>
  <c r="D20" i="38"/>
  <c r="C20" i="38"/>
  <c r="C33" i="37"/>
  <c r="H90" i="38"/>
  <c r="F103" i="37"/>
  <c r="R21" i="38"/>
  <c r="N34" i="37"/>
  <c r="X190" i="38"/>
  <c r="R203" i="37"/>
  <c r="AB190" i="38"/>
  <c r="U203" i="37"/>
  <c r="T40" i="38"/>
  <c r="O53" i="37"/>
  <c r="P190" i="38"/>
  <c r="L203" i="37"/>
  <c r="AF190" i="38"/>
  <c r="X203" i="37"/>
  <c r="N20" i="38"/>
  <c r="O20" i="38"/>
  <c r="K33" i="37"/>
  <c r="T190" i="38"/>
  <c r="O203" i="37"/>
  <c r="AB40" i="38"/>
  <c r="U53" i="37"/>
  <c r="T20" i="38"/>
  <c r="S20" i="38"/>
  <c r="O33" i="37"/>
  <c r="AB90" i="38"/>
  <c r="U103" i="37"/>
  <c r="D140" i="38"/>
  <c r="C153" i="37"/>
  <c r="AB20" i="38"/>
  <c r="U33" i="37"/>
  <c r="AJ190" i="38"/>
  <c r="AA203" i="37"/>
  <c r="AJ20" i="38"/>
  <c r="AA33" i="37"/>
  <c r="L20" i="38"/>
  <c r="I33" i="37"/>
  <c r="P40" i="38"/>
  <c r="L53" i="37"/>
  <c r="L40" i="38"/>
  <c r="I53" i="37"/>
  <c r="F27" i="38"/>
  <c r="G26" i="38"/>
  <c r="AD18" i="38"/>
  <c r="AA18" i="38"/>
  <c r="AJ91" i="38"/>
  <c r="AA104" i="37"/>
  <c r="L41" i="38"/>
  <c r="I54" i="37"/>
  <c r="T21" i="38"/>
  <c r="S21" i="38"/>
  <c r="O34" i="37"/>
  <c r="X191" i="38"/>
  <c r="R204" i="37"/>
  <c r="L141" i="38"/>
  <c r="I154" i="37"/>
  <c r="L21" i="38"/>
  <c r="I34" i="37"/>
  <c r="D141" i="38"/>
  <c r="C154" i="37"/>
  <c r="AF191" i="38"/>
  <c r="X204" i="37"/>
  <c r="H191" i="38"/>
  <c r="F204" i="37"/>
  <c r="AF42" i="38"/>
  <c r="X55" i="37"/>
  <c r="D92" i="38"/>
  <c r="C105" i="37"/>
  <c r="P41" i="38"/>
  <c r="L54" i="37"/>
  <c r="AJ21" i="38"/>
  <c r="AA34" i="37"/>
  <c r="AB21" i="38"/>
  <c r="U34" i="37"/>
  <c r="AB91" i="38"/>
  <c r="U104" i="37"/>
  <c r="AB41" i="38"/>
  <c r="U54" i="37"/>
  <c r="N21" i="38"/>
  <c r="O21" i="38"/>
  <c r="K34" i="37"/>
  <c r="P191" i="38"/>
  <c r="L204" i="37"/>
  <c r="AB191" i="38"/>
  <c r="U204" i="37"/>
  <c r="R22" i="38"/>
  <c r="N35" i="37"/>
  <c r="D21" i="38"/>
  <c r="C21" i="38"/>
  <c r="C34" i="37"/>
  <c r="B24" i="38"/>
  <c r="AJ41" i="38"/>
  <c r="AA54" i="37"/>
  <c r="X21" i="38"/>
  <c r="R34" i="37"/>
  <c r="D41" i="38"/>
  <c r="C54" i="37"/>
  <c r="T91" i="38"/>
  <c r="O104" i="37"/>
  <c r="J21" i="38"/>
  <c r="K21" i="38"/>
  <c r="H34" i="37"/>
  <c r="H41" i="38"/>
  <c r="F54" i="37"/>
  <c r="AJ191" i="38"/>
  <c r="AA204" i="37"/>
  <c r="T191" i="38"/>
  <c r="O204" i="37"/>
  <c r="T41" i="38"/>
  <c r="O54" i="37"/>
  <c r="H91" i="38"/>
  <c r="F104" i="37"/>
  <c r="AF21" i="38"/>
  <c r="X34" i="37"/>
  <c r="H22" i="38"/>
  <c r="G22" i="38"/>
  <c r="F35" i="37"/>
  <c r="L92" i="38"/>
  <c r="I105" i="37"/>
  <c r="V21" i="38"/>
  <c r="Q34" i="37"/>
  <c r="AE18" i="38"/>
  <c r="AH18" i="38"/>
  <c r="AI18" i="38"/>
  <c r="AA19" i="38"/>
  <c r="AD19" i="38"/>
  <c r="W20" i="38"/>
  <c r="Z20" i="38"/>
  <c r="F28" i="38"/>
  <c r="G27" i="38"/>
  <c r="K20" i="38"/>
  <c r="AA105" i="37"/>
  <c r="AJ92" i="38"/>
  <c r="AE19" i="38"/>
  <c r="AH19" i="38"/>
  <c r="AI19" i="38"/>
  <c r="T192" i="38"/>
  <c r="O205" i="37"/>
  <c r="AJ42" i="38"/>
  <c r="AA55" i="37"/>
  <c r="AB192" i="38"/>
  <c r="U205" i="37"/>
  <c r="H192" i="38"/>
  <c r="F205" i="37"/>
  <c r="W21" i="38"/>
  <c r="Z21" i="38"/>
  <c r="H23" i="38"/>
  <c r="G23" i="38"/>
  <c r="F36" i="37"/>
  <c r="H42" i="38"/>
  <c r="F55" i="37"/>
  <c r="D22" i="38"/>
  <c r="C22" i="38"/>
  <c r="C35" i="37"/>
  <c r="AB92" i="38"/>
  <c r="U105" i="37"/>
  <c r="D93" i="38"/>
  <c r="C106" i="37"/>
  <c r="D142" i="38"/>
  <c r="C155" i="37"/>
  <c r="T22" i="38"/>
  <c r="S22" i="38"/>
  <c r="O35" i="37"/>
  <c r="L93" i="38"/>
  <c r="I106" i="37"/>
  <c r="AF22" i="38"/>
  <c r="X35" i="37"/>
  <c r="T42" i="38"/>
  <c r="O55" i="37"/>
  <c r="AJ192" i="38"/>
  <c r="AA205" i="37"/>
  <c r="J22" i="38"/>
  <c r="H35" i="37"/>
  <c r="T92" i="38"/>
  <c r="O105" i="37"/>
  <c r="X22" i="38"/>
  <c r="R35" i="37"/>
  <c r="R23" i="38"/>
  <c r="N36" i="37"/>
  <c r="P192" i="38"/>
  <c r="L205" i="37"/>
  <c r="AB42" i="38"/>
  <c r="U55" i="37"/>
  <c r="AB22" i="38"/>
  <c r="U35" i="37"/>
  <c r="P42" i="38"/>
  <c r="L55" i="37"/>
  <c r="AF43" i="38"/>
  <c r="X56" i="37"/>
  <c r="AF192" i="38"/>
  <c r="X205" i="37"/>
  <c r="L22" i="38"/>
  <c r="I35" i="37"/>
  <c r="X192" i="38"/>
  <c r="R205" i="37"/>
  <c r="L42" i="38"/>
  <c r="I55" i="37"/>
  <c r="V22" i="38"/>
  <c r="Q35" i="37"/>
  <c r="H92" i="38"/>
  <c r="F105" i="37"/>
  <c r="D42" i="38"/>
  <c r="C55" i="37"/>
  <c r="N22" i="38"/>
  <c r="O22" i="38"/>
  <c r="K35" i="37"/>
  <c r="AJ22" i="38"/>
  <c r="AA35" i="37"/>
  <c r="L142" i="38"/>
  <c r="I155" i="37"/>
  <c r="G28" i="38"/>
  <c r="F29" i="38"/>
  <c r="AA20" i="38"/>
  <c r="AD20" i="38"/>
  <c r="B25" i="38"/>
  <c r="AJ93" i="38"/>
  <c r="AA106" i="37"/>
  <c r="AJ23" i="38"/>
  <c r="AA36" i="37"/>
  <c r="X193" i="38"/>
  <c r="R206" i="37"/>
  <c r="AB43" i="38"/>
  <c r="U56" i="37"/>
  <c r="D94" i="38"/>
  <c r="C107" i="37"/>
  <c r="G29" i="38"/>
  <c r="F30" i="38"/>
  <c r="V23" i="38"/>
  <c r="Q36" i="37"/>
  <c r="P43" i="38"/>
  <c r="L56" i="37"/>
  <c r="T93" i="38"/>
  <c r="O106" i="37"/>
  <c r="AF23" i="38"/>
  <c r="X36" i="37"/>
  <c r="D23" i="38"/>
  <c r="C23" i="38"/>
  <c r="C36" i="37"/>
  <c r="AD21" i="38"/>
  <c r="AA21" i="38"/>
  <c r="AB193" i="38"/>
  <c r="U206" i="37"/>
  <c r="Z22" i="38"/>
  <c r="W22" i="38"/>
  <c r="AH20" i="38"/>
  <c r="AI20" i="38"/>
  <c r="AE20" i="38"/>
  <c r="L143" i="38"/>
  <c r="I156" i="37"/>
  <c r="N23" i="38"/>
  <c r="O23" i="38"/>
  <c r="K36" i="37"/>
  <c r="H93" i="38"/>
  <c r="F106" i="37"/>
  <c r="L43" i="38"/>
  <c r="I56" i="37"/>
  <c r="L23" i="38"/>
  <c r="I36" i="37"/>
  <c r="AF44" i="38"/>
  <c r="X57" i="37"/>
  <c r="AB23" i="38"/>
  <c r="U36" i="37"/>
  <c r="P193" i="38"/>
  <c r="L206" i="37"/>
  <c r="R36" i="37"/>
  <c r="X23" i="38"/>
  <c r="J23" i="38"/>
  <c r="H36" i="37"/>
  <c r="T43" i="38"/>
  <c r="O56" i="37"/>
  <c r="L94" i="38"/>
  <c r="I107" i="37"/>
  <c r="D143" i="38"/>
  <c r="C156" i="37"/>
  <c r="AB93" i="38"/>
  <c r="U106" i="37"/>
  <c r="H24" i="38"/>
  <c r="G24" i="38"/>
  <c r="F37" i="37"/>
  <c r="H25" i="38"/>
  <c r="G25" i="38"/>
  <c r="H193" i="38"/>
  <c r="F206" i="37"/>
  <c r="AJ43" i="38"/>
  <c r="AA56" i="37"/>
  <c r="D43" i="38"/>
  <c r="C56" i="37"/>
  <c r="AF193" i="38"/>
  <c r="X206" i="37"/>
  <c r="R24" i="38"/>
  <c r="N37" i="37"/>
  <c r="AJ193" i="38"/>
  <c r="AA206" i="37"/>
  <c r="T23" i="38"/>
  <c r="S23" i="38"/>
  <c r="O36" i="37"/>
  <c r="H43" i="38"/>
  <c r="F56" i="37"/>
  <c r="T193" i="38"/>
  <c r="O206" i="37"/>
  <c r="B26" i="38"/>
  <c r="K22" i="38"/>
  <c r="AJ94" i="38"/>
  <c r="AA107" i="37"/>
  <c r="K23" i="38"/>
  <c r="J24" i="38"/>
  <c r="H37" i="37"/>
  <c r="L44" i="38"/>
  <c r="I57" i="37"/>
  <c r="V24" i="38"/>
  <c r="Q37" i="37"/>
  <c r="Z23" i="38"/>
  <c r="W23" i="38"/>
  <c r="H44" i="38"/>
  <c r="F57" i="37"/>
  <c r="AF194" i="38"/>
  <c r="X207" i="37"/>
  <c r="AB94" i="38"/>
  <c r="U107" i="37"/>
  <c r="AF45" i="38"/>
  <c r="X58" i="37"/>
  <c r="D24" i="38"/>
  <c r="C24" i="38"/>
  <c r="C37" i="37"/>
  <c r="D25" i="38"/>
  <c r="C25" i="38"/>
  <c r="X194" i="38"/>
  <c r="R207" i="37"/>
  <c r="T24" i="38"/>
  <c r="S24" i="38"/>
  <c r="O37" i="37"/>
  <c r="T25" i="38"/>
  <c r="R25" i="38"/>
  <c r="N38" i="37"/>
  <c r="D44" i="38"/>
  <c r="C57" i="37"/>
  <c r="H194" i="38"/>
  <c r="F207" i="37"/>
  <c r="D144" i="38"/>
  <c r="C157" i="37"/>
  <c r="T44" i="38"/>
  <c r="O57" i="37"/>
  <c r="AB24" i="38"/>
  <c r="U37" i="37"/>
  <c r="AB25" i="38"/>
  <c r="L24" i="38"/>
  <c r="I37" i="37"/>
  <c r="L25" i="38"/>
  <c r="H94" i="38"/>
  <c r="F107" i="37"/>
  <c r="L144" i="38"/>
  <c r="I157" i="37"/>
  <c r="AF24" i="38"/>
  <c r="X37" i="37"/>
  <c r="AF25" i="38"/>
  <c r="P44" i="38"/>
  <c r="L57" i="37"/>
  <c r="F31" i="38"/>
  <c r="G30" i="38"/>
  <c r="AB44" i="38"/>
  <c r="U57" i="37"/>
  <c r="AJ24" i="38"/>
  <c r="AA37" i="37"/>
  <c r="AJ25" i="38"/>
  <c r="C26" i="38"/>
  <c r="B27" i="38"/>
  <c r="AJ194" i="38"/>
  <c r="AA207" i="37"/>
  <c r="AJ44" i="38"/>
  <c r="AA57" i="37"/>
  <c r="L95" i="38"/>
  <c r="I108" i="37"/>
  <c r="P194" i="38"/>
  <c r="L207" i="37"/>
  <c r="N24" i="38"/>
  <c r="O24" i="38"/>
  <c r="K37" i="37"/>
  <c r="AB194" i="38"/>
  <c r="U207" i="37"/>
  <c r="T94" i="38"/>
  <c r="O107" i="37"/>
  <c r="D95" i="38"/>
  <c r="C108" i="37"/>
  <c r="T194" i="38"/>
  <c r="O207" i="37"/>
  <c r="X24" i="38"/>
  <c r="R37" i="37"/>
  <c r="X25" i="38"/>
  <c r="AD22" i="38"/>
  <c r="AA22" i="38"/>
  <c r="AH21" i="38"/>
  <c r="AI21" i="38"/>
  <c r="AE21" i="38"/>
  <c r="S25" i="38"/>
  <c r="AA108" i="37"/>
  <c r="AJ95" i="38"/>
  <c r="AE22" i="38"/>
  <c r="AH22" i="38"/>
  <c r="AI22" i="38"/>
  <c r="N25" i="38"/>
  <c r="O25" i="38"/>
  <c r="K38" i="37"/>
  <c r="AJ195" i="38"/>
  <c r="AA208" i="37"/>
  <c r="AF195" i="38"/>
  <c r="X208" i="37"/>
  <c r="F32" i="38"/>
  <c r="G31" i="38"/>
  <c r="AA23" i="38"/>
  <c r="AD23" i="38"/>
  <c r="T95" i="38"/>
  <c r="O108" i="37"/>
  <c r="L96" i="38"/>
  <c r="I109" i="37"/>
  <c r="D145" i="38"/>
  <c r="C158" i="37"/>
  <c r="R26" i="38"/>
  <c r="S26" i="38"/>
  <c r="N39" i="37"/>
  <c r="X195" i="38"/>
  <c r="R208" i="37"/>
  <c r="L45" i="38"/>
  <c r="I58" i="37"/>
  <c r="D96" i="38"/>
  <c r="C109" i="37"/>
  <c r="AB195" i="38"/>
  <c r="U208" i="37"/>
  <c r="P195" i="38"/>
  <c r="L208" i="37"/>
  <c r="AJ45" i="38"/>
  <c r="AA58" i="37"/>
  <c r="B28" i="38"/>
  <c r="C27" i="38"/>
  <c r="AB45" i="38"/>
  <c r="U58" i="37"/>
  <c r="P45" i="38"/>
  <c r="L58" i="37"/>
  <c r="L145" i="38"/>
  <c r="I158" i="37"/>
  <c r="T45" i="38"/>
  <c r="O58" i="37"/>
  <c r="D45" i="38"/>
  <c r="C58" i="37"/>
  <c r="AB95" i="38"/>
  <c r="U108" i="37"/>
  <c r="H45" i="38"/>
  <c r="F58" i="37"/>
  <c r="V25" i="38"/>
  <c r="Q38" i="37"/>
  <c r="J25" i="38"/>
  <c r="K25" i="38"/>
  <c r="H38" i="37"/>
  <c r="T195" i="38"/>
  <c r="O208" i="37"/>
  <c r="H95" i="38"/>
  <c r="F108" i="37"/>
  <c r="H195" i="38"/>
  <c r="F208" i="37"/>
  <c r="AF46" i="38"/>
  <c r="X59" i="37"/>
  <c r="W24" i="38"/>
  <c r="Z24" i="38"/>
  <c r="K24" i="38"/>
  <c r="AJ96" i="38"/>
  <c r="AA109" i="37"/>
  <c r="AF47" i="38"/>
  <c r="X60" i="37"/>
  <c r="H46" i="38"/>
  <c r="F59" i="37"/>
  <c r="R27" i="38"/>
  <c r="S27" i="38"/>
  <c r="N40" i="37"/>
  <c r="H96" i="38"/>
  <c r="F109" i="37"/>
  <c r="D46" i="38"/>
  <c r="C59" i="37"/>
  <c r="AJ46" i="38"/>
  <c r="AA59" i="37"/>
  <c r="L46" i="38"/>
  <c r="I59" i="37"/>
  <c r="AE23" i="38"/>
  <c r="AH23" i="38"/>
  <c r="AI23" i="38"/>
  <c r="N26" i="38"/>
  <c r="O26" i="38"/>
  <c r="K39" i="37"/>
  <c r="H196" i="38"/>
  <c r="F209" i="37"/>
  <c r="T196" i="38"/>
  <c r="O209" i="37"/>
  <c r="V26" i="38"/>
  <c r="Q39" i="37"/>
  <c r="AB96" i="38"/>
  <c r="U109" i="37"/>
  <c r="T46" i="38"/>
  <c r="O59" i="37"/>
  <c r="P46" i="38"/>
  <c r="L59" i="37"/>
  <c r="P196" i="38"/>
  <c r="L209" i="37"/>
  <c r="D97" i="38"/>
  <c r="C110" i="37"/>
  <c r="X196" i="38"/>
  <c r="R209" i="37"/>
  <c r="D146" i="38"/>
  <c r="C159" i="37"/>
  <c r="T96" i="38"/>
  <c r="O109" i="37"/>
  <c r="AJ196" i="38"/>
  <c r="AA209" i="37"/>
  <c r="AA24" i="38"/>
  <c r="AD24" i="38"/>
  <c r="J26" i="38"/>
  <c r="K26" i="38"/>
  <c r="H39" i="37"/>
  <c r="L146" i="38"/>
  <c r="I159" i="37"/>
  <c r="U59" i="37"/>
  <c r="AB46" i="38"/>
  <c r="AB196" i="38"/>
  <c r="U209" i="37"/>
  <c r="L97" i="38"/>
  <c r="I110" i="37"/>
  <c r="AF196" i="38"/>
  <c r="X209" i="37"/>
  <c r="W25" i="38"/>
  <c r="Z25" i="38"/>
  <c r="B29" i="38"/>
  <c r="C28" i="38"/>
  <c r="G32" i="38"/>
  <c r="F33" i="38"/>
  <c r="AJ97" i="38"/>
  <c r="AA110" i="37"/>
  <c r="AD25" i="38"/>
  <c r="AA25" i="38"/>
  <c r="AJ197" i="38"/>
  <c r="AA210" i="37"/>
  <c r="AB47" i="38"/>
  <c r="U60" i="37"/>
  <c r="L98" i="38"/>
  <c r="I111" i="37"/>
  <c r="J27" i="38"/>
  <c r="K27" i="38"/>
  <c r="H40" i="37"/>
  <c r="D98" i="38"/>
  <c r="C111" i="37"/>
  <c r="AB97" i="38"/>
  <c r="U110" i="37"/>
  <c r="T197" i="38"/>
  <c r="O210" i="37"/>
  <c r="AJ47" i="38"/>
  <c r="AA60" i="37"/>
  <c r="H47" i="38"/>
  <c r="F60" i="37"/>
  <c r="AF197" i="38"/>
  <c r="X210" i="37"/>
  <c r="AB197" i="38"/>
  <c r="U210" i="37"/>
  <c r="L147" i="38"/>
  <c r="I160" i="37"/>
  <c r="AH24" i="38"/>
  <c r="AI24" i="38"/>
  <c r="AE24" i="38"/>
  <c r="T97" i="38"/>
  <c r="O110" i="37"/>
  <c r="X197" i="38"/>
  <c r="R210" i="37"/>
  <c r="P197" i="38"/>
  <c r="L210" i="37"/>
  <c r="T47" i="38"/>
  <c r="O60" i="37"/>
  <c r="V27" i="38"/>
  <c r="Q40" i="37"/>
  <c r="H197" i="38"/>
  <c r="F210" i="37"/>
  <c r="N27" i="38"/>
  <c r="O27" i="38"/>
  <c r="K40" i="37"/>
  <c r="L47" i="38"/>
  <c r="I60" i="37"/>
  <c r="D47" i="38"/>
  <c r="C60" i="37"/>
  <c r="R28" i="38"/>
  <c r="S28" i="38"/>
  <c r="N41" i="37"/>
  <c r="AF48" i="38"/>
  <c r="X61" i="37"/>
  <c r="G33" i="38"/>
  <c r="F34" i="38"/>
  <c r="D147" i="38"/>
  <c r="C160" i="37"/>
  <c r="P47" i="38"/>
  <c r="L60" i="37"/>
  <c r="H97" i="38"/>
  <c r="F110" i="37"/>
  <c r="C29" i="38"/>
  <c r="B30" i="38"/>
  <c r="Z26" i="38"/>
  <c r="W26" i="38"/>
  <c r="AJ98" i="38"/>
  <c r="AA111" i="37"/>
  <c r="H98" i="38"/>
  <c r="F111" i="37"/>
  <c r="R29" i="38"/>
  <c r="S29" i="38"/>
  <c r="N42" i="37"/>
  <c r="T48" i="38"/>
  <c r="O61" i="37"/>
  <c r="D99" i="38"/>
  <c r="C112" i="37"/>
  <c r="P48" i="38"/>
  <c r="L61" i="37"/>
  <c r="H198" i="38"/>
  <c r="F211" i="37"/>
  <c r="H48" i="38"/>
  <c r="F61" i="37"/>
  <c r="T198" i="38"/>
  <c r="O211" i="37"/>
  <c r="AJ198" i="38"/>
  <c r="AA211" i="37"/>
  <c r="AD26" i="38"/>
  <c r="AA26" i="38"/>
  <c r="C30" i="38"/>
  <c r="B31" i="38"/>
  <c r="D148" i="38"/>
  <c r="C161" i="37"/>
  <c r="AF49" i="38"/>
  <c r="X62" i="37"/>
  <c r="D48" i="38"/>
  <c r="C61" i="37"/>
  <c r="N28" i="38"/>
  <c r="O28" i="38"/>
  <c r="K41" i="37"/>
  <c r="V28" i="38"/>
  <c r="Q41" i="37"/>
  <c r="P198" i="38"/>
  <c r="L211" i="37"/>
  <c r="T98" i="38"/>
  <c r="O111" i="37"/>
  <c r="L148" i="38"/>
  <c r="I161" i="37"/>
  <c r="AF198" i="38"/>
  <c r="X211" i="37"/>
  <c r="AJ48" i="38"/>
  <c r="AA61" i="37"/>
  <c r="AB98" i="38"/>
  <c r="U111" i="37"/>
  <c r="J28" i="38"/>
  <c r="K28" i="38"/>
  <c r="H41" i="37"/>
  <c r="AB48" i="38"/>
  <c r="U61" i="37"/>
  <c r="F35" i="38"/>
  <c r="G34" i="38"/>
  <c r="L48" i="38"/>
  <c r="I61" i="37"/>
  <c r="X198" i="38"/>
  <c r="R211" i="37"/>
  <c r="AB198" i="38"/>
  <c r="U211" i="37"/>
  <c r="L99" i="38"/>
  <c r="I112" i="37"/>
  <c r="Z27" i="38"/>
  <c r="W27" i="38"/>
  <c r="AH25" i="38"/>
  <c r="AI25" i="38"/>
  <c r="AE25" i="38"/>
  <c r="AA112" i="37"/>
  <c r="AJ99" i="38"/>
  <c r="L100" i="38"/>
  <c r="I113" i="37"/>
  <c r="L149" i="38"/>
  <c r="I162" i="37"/>
  <c r="J29" i="38"/>
  <c r="K29" i="38"/>
  <c r="H42" i="37"/>
  <c r="P199" i="38"/>
  <c r="L212" i="37"/>
  <c r="AF50" i="38"/>
  <c r="X63" i="37"/>
  <c r="T199" i="38"/>
  <c r="O212" i="37"/>
  <c r="H199" i="38"/>
  <c r="F212" i="37"/>
  <c r="D100" i="38"/>
  <c r="C113" i="37"/>
  <c r="F36" i="38"/>
  <c r="G35" i="38"/>
  <c r="AB199" i="38"/>
  <c r="U212" i="37"/>
  <c r="L49" i="38"/>
  <c r="I62" i="37"/>
  <c r="AB49" i="38"/>
  <c r="U62" i="37"/>
  <c r="AB99" i="38"/>
  <c r="U112" i="37"/>
  <c r="AF199" i="38"/>
  <c r="X212" i="37"/>
  <c r="T99" i="38"/>
  <c r="O112" i="37"/>
  <c r="V29" i="38"/>
  <c r="Q42" i="37"/>
  <c r="D49" i="38"/>
  <c r="C62" i="37"/>
  <c r="D149" i="38"/>
  <c r="C162" i="37"/>
  <c r="B32" i="38"/>
  <c r="C31" i="38"/>
  <c r="AJ199" i="38"/>
  <c r="AA212" i="37"/>
  <c r="H49" i="38"/>
  <c r="F62" i="37"/>
  <c r="L62" i="37"/>
  <c r="P49" i="38"/>
  <c r="T49" i="38"/>
  <c r="O62" i="37"/>
  <c r="H99" i="38"/>
  <c r="F112" i="37"/>
  <c r="X199" i="38"/>
  <c r="R212" i="37"/>
  <c r="AJ49" i="38"/>
  <c r="AA62" i="37"/>
  <c r="N29" i="38"/>
  <c r="O29" i="38"/>
  <c r="K42" i="37"/>
  <c r="R30" i="38"/>
  <c r="S30" i="38"/>
  <c r="N43" i="37"/>
  <c r="AE26" i="38"/>
  <c r="AH26" i="38"/>
  <c r="AI26" i="38"/>
  <c r="AA27" i="38"/>
  <c r="AD27" i="38"/>
  <c r="W28" i="38"/>
  <c r="Z28" i="38"/>
  <c r="AJ100" i="38"/>
  <c r="AA113" i="37"/>
  <c r="D101" i="38"/>
  <c r="C114" i="37"/>
  <c r="AA28" i="38"/>
  <c r="AD28" i="38"/>
  <c r="AJ50" i="38"/>
  <c r="AA63" i="37"/>
  <c r="AJ200" i="38"/>
  <c r="AA213" i="37"/>
  <c r="Q43" i="37"/>
  <c r="V30" i="38"/>
  <c r="AB50" i="38"/>
  <c r="U63" i="37"/>
  <c r="T200" i="38"/>
  <c r="O213" i="37"/>
  <c r="P200" i="38"/>
  <c r="L213" i="37"/>
  <c r="AE27" i="38"/>
  <c r="AH27" i="38"/>
  <c r="AI27" i="38"/>
  <c r="R31" i="38"/>
  <c r="S31" i="38"/>
  <c r="N44" i="37"/>
  <c r="N30" i="38"/>
  <c r="O30" i="38"/>
  <c r="K43" i="37"/>
  <c r="X200" i="38"/>
  <c r="R213" i="37"/>
  <c r="T50" i="38"/>
  <c r="O63" i="37"/>
  <c r="H50" i="38"/>
  <c r="F63" i="37"/>
  <c r="D50" i="38"/>
  <c r="C63" i="37"/>
  <c r="T100" i="38"/>
  <c r="O113" i="37"/>
  <c r="AB100" i="38"/>
  <c r="U113" i="37"/>
  <c r="L50" i="38"/>
  <c r="I63" i="37"/>
  <c r="H200" i="38"/>
  <c r="F213" i="37"/>
  <c r="AF51" i="38"/>
  <c r="X64" i="37"/>
  <c r="J30" i="38"/>
  <c r="K30" i="38"/>
  <c r="H43" i="37"/>
  <c r="L101" i="38"/>
  <c r="I114" i="37"/>
  <c r="H100" i="38"/>
  <c r="F113" i="37"/>
  <c r="D150" i="38"/>
  <c r="C163" i="37"/>
  <c r="AF200" i="38"/>
  <c r="X213" i="37"/>
  <c r="AB200" i="38"/>
  <c r="U213" i="37"/>
  <c r="L150" i="38"/>
  <c r="I163" i="37"/>
  <c r="P50" i="38"/>
  <c r="L63" i="37"/>
  <c r="W29" i="38"/>
  <c r="Z29" i="38"/>
  <c r="B33" i="38"/>
  <c r="C32" i="38"/>
  <c r="G36" i="38"/>
  <c r="F37" i="38"/>
  <c r="AJ101" i="38"/>
  <c r="AA114" i="37"/>
  <c r="L151" i="38"/>
  <c r="I164" i="37"/>
  <c r="L102" i="38"/>
  <c r="I115" i="37"/>
  <c r="T101" i="38"/>
  <c r="O114" i="37"/>
  <c r="AB51" i="38"/>
  <c r="U64" i="37"/>
  <c r="G37" i="38"/>
  <c r="F38" i="38"/>
  <c r="AF201" i="38"/>
  <c r="X214" i="37"/>
  <c r="AF52" i="38"/>
  <c r="X65" i="37"/>
  <c r="X201" i="38"/>
  <c r="R214" i="37"/>
  <c r="P201" i="38"/>
  <c r="L214" i="37"/>
  <c r="AH28" i="38"/>
  <c r="AI28" i="38"/>
  <c r="AE28" i="38"/>
  <c r="P51" i="38"/>
  <c r="L64" i="37"/>
  <c r="AB201" i="38"/>
  <c r="U214" i="37"/>
  <c r="D151" i="38"/>
  <c r="C164" i="37"/>
  <c r="J31" i="38"/>
  <c r="K31" i="38"/>
  <c r="H44" i="37"/>
  <c r="H201" i="38"/>
  <c r="F214" i="37"/>
  <c r="AB101" i="38"/>
  <c r="U114" i="37"/>
  <c r="D51" i="38"/>
  <c r="C64" i="37"/>
  <c r="T51" i="38"/>
  <c r="O64" i="37"/>
  <c r="N31" i="38"/>
  <c r="O31" i="38"/>
  <c r="K44" i="37"/>
  <c r="T201" i="38"/>
  <c r="O214" i="37"/>
  <c r="Z30" i="38"/>
  <c r="W30" i="38"/>
  <c r="AJ51" i="38"/>
  <c r="AA64" i="37"/>
  <c r="D102" i="38"/>
  <c r="C115" i="37"/>
  <c r="AD29" i="38"/>
  <c r="AA29" i="38"/>
  <c r="H101" i="38"/>
  <c r="F114" i="37"/>
  <c r="L51" i="38"/>
  <c r="I64" i="37"/>
  <c r="H51" i="38"/>
  <c r="F64" i="37"/>
  <c r="R32" i="38"/>
  <c r="S32" i="38"/>
  <c r="N45" i="37"/>
  <c r="AJ201" i="38"/>
  <c r="AA214" i="37"/>
  <c r="C33" i="38"/>
  <c r="B34" i="38"/>
  <c r="V31" i="38"/>
  <c r="Q44" i="37"/>
  <c r="AJ102" i="38"/>
  <c r="AA115" i="37"/>
  <c r="AJ202" i="38"/>
  <c r="AA215" i="37"/>
  <c r="H202" i="38"/>
  <c r="F215" i="37"/>
  <c r="AF202" i="38"/>
  <c r="X215" i="37"/>
  <c r="V32" i="38"/>
  <c r="Q45" i="37"/>
  <c r="H102" i="38"/>
  <c r="F115" i="37"/>
  <c r="N32" i="38"/>
  <c r="O32" i="38"/>
  <c r="K45" i="37"/>
  <c r="AB202" i="38"/>
  <c r="U215" i="37"/>
  <c r="X202" i="38"/>
  <c r="R215" i="37"/>
  <c r="L103" i="38"/>
  <c r="I116" i="37"/>
  <c r="Z31" i="38"/>
  <c r="W31" i="38"/>
  <c r="C34" i="38"/>
  <c r="B35" i="38"/>
  <c r="R33" i="38"/>
  <c r="S33" i="38"/>
  <c r="N46" i="37"/>
  <c r="L52" i="38"/>
  <c r="I65" i="37"/>
  <c r="AJ52" i="38"/>
  <c r="AA65" i="37"/>
  <c r="T202" i="38"/>
  <c r="O215" i="37"/>
  <c r="T52" i="38"/>
  <c r="O65" i="37"/>
  <c r="AB102" i="38"/>
  <c r="U115" i="37"/>
  <c r="J32" i="38"/>
  <c r="K32" i="38"/>
  <c r="H45" i="37"/>
  <c r="D152" i="38"/>
  <c r="C165" i="37"/>
  <c r="P52" i="38"/>
  <c r="L65" i="37"/>
  <c r="P202" i="38"/>
  <c r="L215" i="37"/>
  <c r="AF53" i="38"/>
  <c r="X66" i="37"/>
  <c r="F39" i="38"/>
  <c r="G38" i="38"/>
  <c r="T102" i="38"/>
  <c r="O115" i="37"/>
  <c r="L152" i="38"/>
  <c r="I165" i="37"/>
  <c r="H52" i="38"/>
  <c r="F65" i="37"/>
  <c r="D103" i="38"/>
  <c r="C116" i="37"/>
  <c r="D52" i="38"/>
  <c r="C65" i="37"/>
  <c r="AB52" i="38"/>
  <c r="U65" i="37"/>
  <c r="AD30" i="38"/>
  <c r="AA30" i="38"/>
  <c r="AH29" i="38"/>
  <c r="AI29" i="38"/>
  <c r="AE29" i="38"/>
  <c r="AJ103" i="38"/>
  <c r="AA116" i="37"/>
  <c r="F40" i="38"/>
  <c r="G39" i="38"/>
  <c r="W32" i="38"/>
  <c r="Z32" i="38"/>
  <c r="AB53" i="38"/>
  <c r="U66" i="37"/>
  <c r="D104" i="38"/>
  <c r="C117" i="37"/>
  <c r="L153" i="38"/>
  <c r="I166" i="37"/>
  <c r="P203" i="38"/>
  <c r="L216" i="37"/>
  <c r="D153" i="38"/>
  <c r="C166" i="37"/>
  <c r="AB103" i="38"/>
  <c r="U116" i="37"/>
  <c r="T203" i="38"/>
  <c r="O216" i="37"/>
  <c r="L53" i="38"/>
  <c r="I66" i="37"/>
  <c r="B36" i="38"/>
  <c r="C35" i="38"/>
  <c r="L104" i="38"/>
  <c r="I117" i="37"/>
  <c r="AB203" i="38"/>
  <c r="U216" i="37"/>
  <c r="N33" i="38"/>
  <c r="O33" i="38"/>
  <c r="K46" i="37"/>
  <c r="V33" i="38"/>
  <c r="Q46" i="37"/>
  <c r="H203" i="38"/>
  <c r="F216" i="37"/>
  <c r="D53" i="38"/>
  <c r="C66" i="37"/>
  <c r="H53" i="38"/>
  <c r="F66" i="37"/>
  <c r="T103" i="38"/>
  <c r="O116" i="37"/>
  <c r="AF54" i="38"/>
  <c r="X67" i="37"/>
  <c r="P53" i="38"/>
  <c r="L66" i="37"/>
  <c r="J33" i="38"/>
  <c r="K33" i="38"/>
  <c r="H46" i="37"/>
  <c r="T53" i="38"/>
  <c r="O66" i="37"/>
  <c r="AJ53" i="38"/>
  <c r="AA66" i="37"/>
  <c r="R34" i="38"/>
  <c r="S34" i="38"/>
  <c r="N47" i="37"/>
  <c r="X203" i="38"/>
  <c r="R216" i="37"/>
  <c r="H103" i="38"/>
  <c r="F116" i="37"/>
  <c r="AF203" i="38"/>
  <c r="X216" i="37"/>
  <c r="AJ203" i="38"/>
  <c r="AA216" i="37"/>
  <c r="AE30" i="38"/>
  <c r="AH30" i="38"/>
  <c r="AI30" i="38"/>
  <c r="AA31" i="38"/>
  <c r="AD31" i="38"/>
  <c r="AJ104" i="38"/>
  <c r="AA117" i="37"/>
  <c r="AE31" i="38"/>
  <c r="AH31" i="38"/>
  <c r="AI31" i="38"/>
  <c r="AJ204" i="38"/>
  <c r="AA217" i="37"/>
  <c r="H104" i="38"/>
  <c r="F117" i="37"/>
  <c r="X204" i="38"/>
  <c r="R217" i="37"/>
  <c r="AJ54" i="38"/>
  <c r="AA67" i="37"/>
  <c r="J34" i="38"/>
  <c r="K34" i="38"/>
  <c r="H47" i="37"/>
  <c r="AF55" i="38"/>
  <c r="X68" i="37"/>
  <c r="H54" i="38"/>
  <c r="F67" i="37"/>
  <c r="H204" i="38"/>
  <c r="F217" i="37"/>
  <c r="N34" i="38"/>
  <c r="O34" i="38"/>
  <c r="K47" i="37"/>
  <c r="L105" i="38"/>
  <c r="I118" i="37"/>
  <c r="L54" i="38"/>
  <c r="I67" i="37"/>
  <c r="AB104" i="38"/>
  <c r="U117" i="37"/>
  <c r="P204" i="38"/>
  <c r="L217" i="37"/>
  <c r="D105" i="38"/>
  <c r="C118" i="37"/>
  <c r="AA32" i="38"/>
  <c r="AD32" i="38"/>
  <c r="R35" i="38"/>
  <c r="S35" i="38"/>
  <c r="N48" i="37"/>
  <c r="T54" i="38"/>
  <c r="O67" i="37"/>
  <c r="P54" i="38"/>
  <c r="L67" i="37"/>
  <c r="T104" i="38"/>
  <c r="O117" i="37"/>
  <c r="D54" i="38"/>
  <c r="C67" i="37"/>
  <c r="V34" i="38"/>
  <c r="Q47" i="37"/>
  <c r="AB204" i="38"/>
  <c r="U217" i="37"/>
  <c r="T204" i="38"/>
  <c r="O217" i="37"/>
  <c r="D154" i="38"/>
  <c r="C167" i="37"/>
  <c r="L154" i="38"/>
  <c r="I167" i="37"/>
  <c r="U67" i="37"/>
  <c r="AB54" i="38"/>
  <c r="AF204" i="38"/>
  <c r="X217" i="37"/>
  <c r="W33" i="38"/>
  <c r="Z33" i="38"/>
  <c r="B37" i="38"/>
  <c r="C36" i="38"/>
  <c r="G40" i="38"/>
  <c r="F41" i="38"/>
  <c r="AJ105" i="38"/>
  <c r="AA118" i="37"/>
  <c r="L155" i="38"/>
  <c r="I168" i="37"/>
  <c r="T105" i="38"/>
  <c r="O118" i="37"/>
  <c r="AB105" i="38"/>
  <c r="U118" i="37"/>
  <c r="AJ55" i="38"/>
  <c r="AA68" i="37"/>
  <c r="G41" i="38"/>
  <c r="F42" i="38"/>
  <c r="AD33" i="38"/>
  <c r="AA33" i="38"/>
  <c r="D155" i="38"/>
  <c r="C168" i="37"/>
  <c r="AB205" i="38"/>
  <c r="U218" i="37"/>
  <c r="D55" i="38"/>
  <c r="C68" i="37"/>
  <c r="P55" i="38"/>
  <c r="L68" i="37"/>
  <c r="R36" i="38"/>
  <c r="S36" i="38"/>
  <c r="N49" i="37"/>
  <c r="AH32" i="38"/>
  <c r="AI32" i="38"/>
  <c r="AE32" i="38"/>
  <c r="P205" i="38"/>
  <c r="L218" i="37"/>
  <c r="L55" i="38"/>
  <c r="I68" i="37"/>
  <c r="N35" i="38"/>
  <c r="O35" i="38"/>
  <c r="K48" i="37"/>
  <c r="H55" i="38"/>
  <c r="F68" i="37"/>
  <c r="J35" i="38"/>
  <c r="K35" i="38"/>
  <c r="H48" i="37"/>
  <c r="X205" i="38"/>
  <c r="R218" i="37"/>
  <c r="AJ205" i="38"/>
  <c r="AA218" i="37"/>
  <c r="AB55" i="38"/>
  <c r="U68" i="37"/>
  <c r="AF205" i="38"/>
  <c r="X218" i="37"/>
  <c r="T205" i="38"/>
  <c r="O218" i="37"/>
  <c r="V35" i="38"/>
  <c r="Q48" i="37"/>
  <c r="T55" i="38"/>
  <c r="O68" i="37"/>
  <c r="D106" i="38"/>
  <c r="C119" i="37"/>
  <c r="L106" i="38"/>
  <c r="I119" i="37"/>
  <c r="H205" i="38"/>
  <c r="F218" i="37"/>
  <c r="AF56" i="38"/>
  <c r="X69" i="37"/>
  <c r="H105" i="38"/>
  <c r="F118" i="37"/>
  <c r="C37" i="38"/>
  <c r="B38" i="38"/>
  <c r="Z34" i="38"/>
  <c r="W34" i="38"/>
  <c r="AJ106" i="38"/>
  <c r="AA119" i="37"/>
  <c r="H206" i="38"/>
  <c r="F219" i="37"/>
  <c r="T56" i="38"/>
  <c r="O69" i="37"/>
  <c r="AB56" i="38"/>
  <c r="U69" i="37"/>
  <c r="H56" i="38"/>
  <c r="F69" i="37"/>
  <c r="T106" i="38"/>
  <c r="O119" i="37"/>
  <c r="AH33" i="38"/>
  <c r="AI33" i="38"/>
  <c r="AE33" i="38"/>
  <c r="C38" i="38"/>
  <c r="B39" i="38"/>
  <c r="L107" i="38"/>
  <c r="I120" i="37"/>
  <c r="V36" i="38"/>
  <c r="Q49" i="37"/>
  <c r="AJ206" i="38"/>
  <c r="AA219" i="37"/>
  <c r="N36" i="38"/>
  <c r="O36" i="38"/>
  <c r="K49" i="37"/>
  <c r="R37" i="38"/>
  <c r="S37" i="38"/>
  <c r="N50" i="37"/>
  <c r="D56" i="38"/>
  <c r="C69" i="37"/>
  <c r="F43" i="38"/>
  <c r="G42" i="38"/>
  <c r="AB106" i="38"/>
  <c r="U119" i="37"/>
  <c r="L156" i="38"/>
  <c r="I169" i="37"/>
  <c r="H106" i="38"/>
  <c r="F119" i="37"/>
  <c r="D107" i="38"/>
  <c r="C120" i="37"/>
  <c r="T206" i="38"/>
  <c r="O219" i="37"/>
  <c r="X206" i="38"/>
  <c r="R219" i="37"/>
  <c r="L56" i="38"/>
  <c r="I69" i="37"/>
  <c r="P56" i="38"/>
  <c r="L69" i="37"/>
  <c r="AB206" i="38"/>
  <c r="U219" i="37"/>
  <c r="AJ56" i="38"/>
  <c r="AA69" i="37"/>
  <c r="AD34" i="38"/>
  <c r="AA34" i="38"/>
  <c r="AF57" i="38"/>
  <c r="X70" i="37"/>
  <c r="AF206" i="38"/>
  <c r="X219" i="37"/>
  <c r="H49" i="37"/>
  <c r="J36" i="38"/>
  <c r="K36" i="38"/>
  <c r="P206" i="38"/>
  <c r="L219" i="37"/>
  <c r="D156" i="38"/>
  <c r="C169" i="37"/>
  <c r="Z35" i="38"/>
  <c r="W35" i="38"/>
  <c r="AA120" i="37"/>
  <c r="AJ107" i="38"/>
  <c r="P207" i="38"/>
  <c r="L220" i="37"/>
  <c r="P57" i="38"/>
  <c r="L70" i="37"/>
  <c r="R38" i="38"/>
  <c r="S38" i="38"/>
  <c r="N51" i="37"/>
  <c r="F44" i="38"/>
  <c r="G43" i="38"/>
  <c r="AF58" i="38"/>
  <c r="X71" i="37"/>
  <c r="D108" i="38"/>
  <c r="C121" i="37"/>
  <c r="L108" i="38"/>
  <c r="I121" i="37"/>
  <c r="T57" i="38"/>
  <c r="O70" i="37"/>
  <c r="C170" i="37"/>
  <c r="D157" i="38"/>
  <c r="AB207" i="38"/>
  <c r="U220" i="37"/>
  <c r="T207" i="38"/>
  <c r="O220" i="37"/>
  <c r="AB107" i="38"/>
  <c r="U120" i="37"/>
  <c r="D57" i="38"/>
  <c r="C70" i="37"/>
  <c r="N37" i="38"/>
  <c r="O37" i="38"/>
  <c r="K50" i="37"/>
  <c r="V37" i="38"/>
  <c r="Q50" i="37"/>
  <c r="B40" i="38"/>
  <c r="C39" i="38"/>
  <c r="T107" i="38"/>
  <c r="O120" i="37"/>
  <c r="AB57" i="38"/>
  <c r="U70" i="37"/>
  <c r="H207" i="38"/>
  <c r="F220" i="37"/>
  <c r="AF207" i="38"/>
  <c r="X220" i="37"/>
  <c r="AJ57" i="38"/>
  <c r="AA70" i="37"/>
  <c r="X207" i="38"/>
  <c r="R220" i="37"/>
  <c r="L157" i="38"/>
  <c r="I170" i="37"/>
  <c r="AJ207" i="38"/>
  <c r="AA220" i="37"/>
  <c r="H57" i="38"/>
  <c r="F70" i="37"/>
  <c r="AA35" i="38"/>
  <c r="AD35" i="38"/>
  <c r="L57" i="38"/>
  <c r="I70" i="37"/>
  <c r="H107" i="38"/>
  <c r="F120" i="37"/>
  <c r="J37" i="38"/>
  <c r="K37" i="38"/>
  <c r="H50" i="37"/>
  <c r="AE34" i="38"/>
  <c r="AH34" i="38"/>
  <c r="AI34" i="38"/>
  <c r="W36" i="38"/>
  <c r="Z36" i="38"/>
  <c r="AJ108" i="38"/>
  <c r="AA121" i="37"/>
  <c r="AA36" i="38"/>
  <c r="AD36" i="38"/>
  <c r="H58" i="38"/>
  <c r="F71" i="37"/>
  <c r="H208" i="38"/>
  <c r="F221" i="37"/>
  <c r="G44" i="38"/>
  <c r="F45" i="38"/>
  <c r="L58" i="38"/>
  <c r="I71" i="37"/>
  <c r="AJ58" i="38"/>
  <c r="AA71" i="37"/>
  <c r="V38" i="38"/>
  <c r="Q51" i="37"/>
  <c r="T208" i="38"/>
  <c r="O221" i="37"/>
  <c r="D109" i="38"/>
  <c r="C122" i="37"/>
  <c r="P58" i="38"/>
  <c r="L71" i="37"/>
  <c r="AJ208" i="38"/>
  <c r="AA221" i="37"/>
  <c r="AF59" i="38"/>
  <c r="X72" i="37"/>
  <c r="R39" i="38"/>
  <c r="S39" i="38"/>
  <c r="N52" i="37"/>
  <c r="P208" i="38"/>
  <c r="L221" i="37"/>
  <c r="J38" i="38"/>
  <c r="K38" i="38"/>
  <c r="H51" i="37"/>
  <c r="L158" i="38"/>
  <c r="I171" i="37"/>
  <c r="T108" i="38"/>
  <c r="O121" i="37"/>
  <c r="D58" i="38"/>
  <c r="C71" i="37"/>
  <c r="T58" i="38"/>
  <c r="O71" i="37"/>
  <c r="W37" i="38"/>
  <c r="Z37" i="38"/>
  <c r="H108" i="38"/>
  <c r="F121" i="37"/>
  <c r="AE35" i="38"/>
  <c r="AH35" i="38"/>
  <c r="AI35" i="38"/>
  <c r="X208" i="38"/>
  <c r="R221" i="37"/>
  <c r="AF208" i="38"/>
  <c r="X221" i="37"/>
  <c r="U71" i="37"/>
  <c r="AB58" i="38"/>
  <c r="N38" i="38"/>
  <c r="O38" i="38"/>
  <c r="K51" i="37"/>
  <c r="AB108" i="38"/>
  <c r="U121" i="37"/>
  <c r="AB208" i="38"/>
  <c r="U221" i="37"/>
  <c r="L109" i="38"/>
  <c r="I122" i="37"/>
  <c r="B41" i="38"/>
  <c r="C40" i="38"/>
  <c r="D158" i="38"/>
  <c r="C171" i="37"/>
  <c r="AA122" i="37"/>
  <c r="AJ109" i="38"/>
  <c r="AB109" i="38"/>
  <c r="U122" i="37"/>
  <c r="AJ209" i="38"/>
  <c r="AA222" i="37"/>
  <c r="D159" i="38"/>
  <c r="C172" i="37"/>
  <c r="H109" i="38"/>
  <c r="F122" i="37"/>
  <c r="T109" i="38"/>
  <c r="O122" i="37"/>
  <c r="R40" i="38"/>
  <c r="S40" i="38"/>
  <c r="N53" i="37"/>
  <c r="V39" i="38"/>
  <c r="Q52" i="37"/>
  <c r="L59" i="38"/>
  <c r="I72" i="37"/>
  <c r="H59" i="38"/>
  <c r="F72" i="37"/>
  <c r="AB59" i="38"/>
  <c r="U72" i="37"/>
  <c r="AB209" i="38"/>
  <c r="U222" i="37"/>
  <c r="N39" i="38"/>
  <c r="O39" i="38"/>
  <c r="K52" i="37"/>
  <c r="AF209" i="38"/>
  <c r="X222" i="37"/>
  <c r="AD37" i="38"/>
  <c r="AA37" i="38"/>
  <c r="D59" i="38"/>
  <c r="C72" i="37"/>
  <c r="L159" i="38"/>
  <c r="I172" i="37"/>
  <c r="P209" i="38"/>
  <c r="L222" i="37"/>
  <c r="AF60" i="38"/>
  <c r="X73" i="37"/>
  <c r="P59" i="38"/>
  <c r="L72" i="37"/>
  <c r="T209" i="38"/>
  <c r="O222" i="37"/>
  <c r="AJ59" i="38"/>
  <c r="AA72" i="37"/>
  <c r="G45" i="38"/>
  <c r="F46" i="38"/>
  <c r="H209" i="38"/>
  <c r="F222" i="37"/>
  <c r="AH36" i="38"/>
  <c r="AI36" i="38"/>
  <c r="AE36" i="38"/>
  <c r="L110" i="38"/>
  <c r="I123" i="37"/>
  <c r="X209" i="38"/>
  <c r="R222" i="37"/>
  <c r="T59" i="38"/>
  <c r="O72" i="37"/>
  <c r="J39" i="38"/>
  <c r="K39" i="38"/>
  <c r="H52" i="37"/>
  <c r="D110" i="38"/>
  <c r="C123" i="37"/>
  <c r="Z38" i="38"/>
  <c r="W38" i="38"/>
  <c r="C41" i="38"/>
  <c r="B42" i="38"/>
  <c r="AJ110" i="38"/>
  <c r="AA123" i="37"/>
  <c r="F47" i="38"/>
  <c r="G46" i="38"/>
  <c r="C42" i="38"/>
  <c r="B43" i="38"/>
  <c r="X210" i="38"/>
  <c r="R223" i="37"/>
  <c r="T210" i="38"/>
  <c r="O223" i="37"/>
  <c r="L160" i="38"/>
  <c r="I173" i="37"/>
  <c r="AB60" i="38"/>
  <c r="U73" i="37"/>
  <c r="R41" i="38"/>
  <c r="S41" i="38"/>
  <c r="N54" i="37"/>
  <c r="H110" i="38"/>
  <c r="F123" i="37"/>
  <c r="AH37" i="38"/>
  <c r="AI37" i="38"/>
  <c r="AE37" i="38"/>
  <c r="D111" i="38"/>
  <c r="C124" i="37"/>
  <c r="T60" i="38"/>
  <c r="O73" i="37"/>
  <c r="L111" i="38"/>
  <c r="I124" i="37"/>
  <c r="H210" i="38"/>
  <c r="F223" i="37"/>
  <c r="AJ60" i="38"/>
  <c r="AA73" i="37"/>
  <c r="P60" i="38"/>
  <c r="L73" i="37"/>
  <c r="P210" i="38"/>
  <c r="L223" i="37"/>
  <c r="D60" i="38"/>
  <c r="C73" i="37"/>
  <c r="AF210" i="38"/>
  <c r="X223" i="37"/>
  <c r="AB210" i="38"/>
  <c r="U223" i="37"/>
  <c r="H60" i="38"/>
  <c r="F73" i="37"/>
  <c r="V40" i="38"/>
  <c r="Q53" i="37"/>
  <c r="T110" i="38"/>
  <c r="O123" i="37"/>
  <c r="D160" i="38"/>
  <c r="C173" i="37"/>
  <c r="AB110" i="38"/>
  <c r="U123" i="37"/>
  <c r="J40" i="38"/>
  <c r="K40" i="38"/>
  <c r="H53" i="37"/>
  <c r="AF61" i="38"/>
  <c r="X74" i="37"/>
  <c r="N40" i="38"/>
  <c r="O40" i="38"/>
  <c r="K53" i="37"/>
  <c r="L60" i="38"/>
  <c r="I73" i="37"/>
  <c r="AJ210" i="38"/>
  <c r="AA223" i="37"/>
  <c r="AD38" i="38"/>
  <c r="AA38" i="38"/>
  <c r="Z39" i="38"/>
  <c r="W39" i="38"/>
  <c r="AJ111" i="38"/>
  <c r="AA124" i="37"/>
  <c r="N41" i="38"/>
  <c r="O41" i="38"/>
  <c r="K54" i="37"/>
  <c r="D61" i="38"/>
  <c r="C74" i="37"/>
  <c r="F48" i="38"/>
  <c r="G47" i="38"/>
  <c r="AJ211" i="38"/>
  <c r="AA224" i="37"/>
  <c r="D161" i="38"/>
  <c r="C174" i="37"/>
  <c r="AB211" i="38"/>
  <c r="U224" i="37"/>
  <c r="H211" i="38"/>
  <c r="F224" i="37"/>
  <c r="L161" i="38"/>
  <c r="I174" i="37"/>
  <c r="AA39" i="38"/>
  <c r="AD39" i="38"/>
  <c r="AF62" i="38"/>
  <c r="X75" i="37"/>
  <c r="AB111" i="38"/>
  <c r="U124" i="37"/>
  <c r="T111" i="38"/>
  <c r="O124" i="37"/>
  <c r="H61" i="38"/>
  <c r="F74" i="37"/>
  <c r="AF211" i="38"/>
  <c r="X224" i="37"/>
  <c r="P211" i="38"/>
  <c r="L224" i="37"/>
  <c r="AJ61" i="38"/>
  <c r="AA74" i="37"/>
  <c r="L112" i="38"/>
  <c r="I125" i="37"/>
  <c r="D112" i="38"/>
  <c r="C125" i="37"/>
  <c r="H111" i="38"/>
  <c r="F124" i="37"/>
  <c r="AB61" i="38"/>
  <c r="U74" i="37"/>
  <c r="T211" i="38"/>
  <c r="O224" i="37"/>
  <c r="B44" i="38"/>
  <c r="C43" i="38"/>
  <c r="J41" i="38"/>
  <c r="K41" i="38"/>
  <c r="H54" i="37"/>
  <c r="V41" i="38"/>
  <c r="Q54" i="37"/>
  <c r="P61" i="38"/>
  <c r="L74" i="37"/>
  <c r="T61" i="38"/>
  <c r="O74" i="37"/>
  <c r="R42" i="38"/>
  <c r="S42" i="38"/>
  <c r="N55" i="37"/>
  <c r="X211" i="38"/>
  <c r="R224" i="37"/>
  <c r="W40" i="38"/>
  <c r="Z40" i="38"/>
  <c r="L61" i="38"/>
  <c r="I74" i="37"/>
  <c r="AE38" i="38"/>
  <c r="AH38" i="38"/>
  <c r="AI38" i="38"/>
  <c r="AA125" i="37"/>
  <c r="AJ112" i="38"/>
  <c r="AA40" i="38"/>
  <c r="AD40" i="38"/>
  <c r="J42" i="38"/>
  <c r="K42" i="38"/>
  <c r="H55" i="37"/>
  <c r="AF212" i="38"/>
  <c r="X225" i="37"/>
  <c r="R43" i="38"/>
  <c r="S43" i="38"/>
  <c r="N56" i="37"/>
  <c r="D113" i="38"/>
  <c r="C126" i="37"/>
  <c r="AF63" i="38"/>
  <c r="X76" i="37"/>
  <c r="AB212" i="38"/>
  <c r="U225" i="37"/>
  <c r="AJ212" i="38"/>
  <c r="AA225" i="37"/>
  <c r="B45" i="38"/>
  <c r="C44" i="38"/>
  <c r="X212" i="38"/>
  <c r="R225" i="37"/>
  <c r="T62" i="38"/>
  <c r="O75" i="37"/>
  <c r="V42" i="38"/>
  <c r="Q55" i="37"/>
  <c r="T212" i="38"/>
  <c r="O225" i="37"/>
  <c r="H112" i="38"/>
  <c r="F125" i="37"/>
  <c r="L113" i="38"/>
  <c r="I126" i="37"/>
  <c r="P212" i="38"/>
  <c r="L225" i="37"/>
  <c r="H62" i="38"/>
  <c r="F75" i="37"/>
  <c r="AB112" i="38"/>
  <c r="U125" i="37"/>
  <c r="AE39" i="38"/>
  <c r="AH39" i="38"/>
  <c r="AI39" i="38"/>
  <c r="H212" i="38"/>
  <c r="F225" i="37"/>
  <c r="D162" i="38"/>
  <c r="C175" i="37"/>
  <c r="N42" i="38"/>
  <c r="O42" i="38"/>
  <c r="K55" i="37"/>
  <c r="P62" i="38"/>
  <c r="L75" i="37"/>
  <c r="U75" i="37"/>
  <c r="AB62" i="38"/>
  <c r="AJ62" i="38"/>
  <c r="AA75" i="37"/>
  <c r="T112" i="38"/>
  <c r="O125" i="37"/>
  <c r="L162" i="38"/>
  <c r="I175" i="37"/>
  <c r="D62" i="38"/>
  <c r="C75" i="37"/>
  <c r="L62" i="38"/>
  <c r="I75" i="37"/>
  <c r="W41" i="38"/>
  <c r="Z41" i="38"/>
  <c r="G48" i="38"/>
  <c r="F49" i="38"/>
  <c r="AJ113" i="38"/>
  <c r="AA126" i="37"/>
  <c r="L63" i="38"/>
  <c r="I76" i="37"/>
  <c r="L163" i="38"/>
  <c r="I176" i="37"/>
  <c r="P63" i="38"/>
  <c r="L76" i="37"/>
  <c r="H63" i="38"/>
  <c r="F76" i="37"/>
  <c r="T213" i="38"/>
  <c r="O226" i="37"/>
  <c r="X213" i="38"/>
  <c r="R226" i="37"/>
  <c r="AF64" i="38"/>
  <c r="X77" i="37"/>
  <c r="J43" i="38"/>
  <c r="K43" i="38"/>
  <c r="H56" i="37"/>
  <c r="Z42" i="38"/>
  <c r="W42" i="38"/>
  <c r="AD41" i="38"/>
  <c r="AA41" i="38"/>
  <c r="D63" i="38"/>
  <c r="C76" i="37"/>
  <c r="T113" i="38"/>
  <c r="O126" i="37"/>
  <c r="N43" i="38"/>
  <c r="O43" i="38"/>
  <c r="K56" i="37"/>
  <c r="H213" i="38"/>
  <c r="F226" i="37"/>
  <c r="AB113" i="38"/>
  <c r="U126" i="37"/>
  <c r="P213" i="38"/>
  <c r="L226" i="37"/>
  <c r="H113" i="38"/>
  <c r="F126" i="37"/>
  <c r="T63" i="38"/>
  <c r="O76" i="37"/>
  <c r="AB213" i="38"/>
  <c r="U226" i="37"/>
  <c r="D114" i="38"/>
  <c r="C127" i="37"/>
  <c r="AF213" i="38"/>
  <c r="X226" i="37"/>
  <c r="AH40" i="38"/>
  <c r="AI40" i="38"/>
  <c r="AE40" i="38"/>
  <c r="G49" i="38"/>
  <c r="F50" i="38"/>
  <c r="AJ63" i="38"/>
  <c r="AA76" i="37"/>
  <c r="D163" i="38"/>
  <c r="C176" i="37"/>
  <c r="L114" i="38"/>
  <c r="I127" i="37"/>
  <c r="V43" i="38"/>
  <c r="Q56" i="37"/>
  <c r="AJ213" i="38"/>
  <c r="AA226" i="37"/>
  <c r="R44" i="38"/>
  <c r="S44" i="38"/>
  <c r="N57" i="37"/>
  <c r="AB63" i="38"/>
  <c r="U76" i="37"/>
  <c r="C45" i="38"/>
  <c r="B46" i="38"/>
  <c r="AA127" i="37"/>
  <c r="AJ114" i="38"/>
  <c r="V44" i="38"/>
  <c r="Q57" i="37"/>
  <c r="AF214" i="38"/>
  <c r="X227" i="37"/>
  <c r="T114" i="38"/>
  <c r="O127" i="37"/>
  <c r="R45" i="38"/>
  <c r="S45" i="38"/>
  <c r="N58" i="37"/>
  <c r="F51" i="38"/>
  <c r="G50" i="38"/>
  <c r="AB214" i="38"/>
  <c r="U227" i="37"/>
  <c r="P214" i="38"/>
  <c r="L227" i="37"/>
  <c r="X214" i="38"/>
  <c r="R227" i="37"/>
  <c r="L164" i="38"/>
  <c r="I177" i="37"/>
  <c r="Z43" i="38"/>
  <c r="W43" i="38"/>
  <c r="AB64" i="38"/>
  <c r="U77" i="37"/>
  <c r="AJ214" i="38"/>
  <c r="AA227" i="37"/>
  <c r="L115" i="38"/>
  <c r="I128" i="37"/>
  <c r="AJ64" i="38"/>
  <c r="AA77" i="37"/>
  <c r="D115" i="38"/>
  <c r="C128" i="37"/>
  <c r="T64" i="38"/>
  <c r="O77" i="37"/>
  <c r="H114" i="38"/>
  <c r="F127" i="37"/>
  <c r="AB114" i="38"/>
  <c r="U127" i="37"/>
  <c r="N44" i="38"/>
  <c r="O44" i="38"/>
  <c r="K57" i="37"/>
  <c r="D64" i="38"/>
  <c r="C77" i="37"/>
  <c r="AF65" i="38"/>
  <c r="X78" i="37"/>
  <c r="T214" i="38"/>
  <c r="O227" i="37"/>
  <c r="P64" i="38"/>
  <c r="L77" i="37"/>
  <c r="L64" i="38"/>
  <c r="I77" i="37"/>
  <c r="C46" i="38"/>
  <c r="B47" i="38"/>
  <c r="D164" i="38"/>
  <c r="C177" i="37"/>
  <c r="H214" i="38"/>
  <c r="F227" i="37"/>
  <c r="J44" i="38"/>
  <c r="K44" i="38"/>
  <c r="H57" i="37"/>
  <c r="H64" i="38"/>
  <c r="F77" i="37"/>
  <c r="AH41" i="38"/>
  <c r="AI41" i="38"/>
  <c r="AE41" i="38"/>
  <c r="AD42" i="38"/>
  <c r="AA42" i="38"/>
  <c r="AJ115" i="38"/>
  <c r="AA128" i="37"/>
  <c r="H215" i="38"/>
  <c r="F228" i="37"/>
  <c r="D65" i="38"/>
  <c r="C78" i="37"/>
  <c r="AJ65" i="38"/>
  <c r="AA78" i="37"/>
  <c r="AJ215" i="38"/>
  <c r="AA228" i="37"/>
  <c r="AB215" i="38"/>
  <c r="U228" i="37"/>
  <c r="AA43" i="38"/>
  <c r="AD43" i="38"/>
  <c r="H65" i="38"/>
  <c r="F78" i="37"/>
  <c r="L65" i="38"/>
  <c r="I78" i="37"/>
  <c r="AB115" i="38"/>
  <c r="U128" i="37"/>
  <c r="D13" i="36"/>
  <c r="E13" i="36"/>
  <c r="AF215" i="38"/>
  <c r="X228" i="37"/>
  <c r="AE42" i="38"/>
  <c r="AH42" i="38"/>
  <c r="AI42" i="38"/>
  <c r="J45" i="38"/>
  <c r="K45" i="38"/>
  <c r="H58" i="37"/>
  <c r="B48" i="38"/>
  <c r="C47" i="38"/>
  <c r="AF66" i="38"/>
  <c r="X79" i="37"/>
  <c r="N45" i="38"/>
  <c r="O45" i="38"/>
  <c r="K58" i="37"/>
  <c r="D116" i="38"/>
  <c r="C129" i="37"/>
  <c r="L116" i="38"/>
  <c r="I129" i="37"/>
  <c r="AB65" i="38"/>
  <c r="U78" i="37"/>
  <c r="L165" i="38"/>
  <c r="I178" i="37"/>
  <c r="P215" i="38"/>
  <c r="L228" i="37"/>
  <c r="T115" i="38"/>
  <c r="O128" i="37"/>
  <c r="V45" i="38"/>
  <c r="Q58" i="37"/>
  <c r="D165" i="38"/>
  <c r="C178" i="37"/>
  <c r="T215" i="38"/>
  <c r="O228" i="37"/>
  <c r="T65" i="38"/>
  <c r="O78" i="37"/>
  <c r="X215" i="38"/>
  <c r="R228" i="37"/>
  <c r="R46" i="38"/>
  <c r="S46" i="38"/>
  <c r="N59" i="37"/>
  <c r="L78" i="37"/>
  <c r="P65" i="38"/>
  <c r="H115" i="38"/>
  <c r="F128" i="37"/>
  <c r="D8" i="36"/>
  <c r="E8" i="36"/>
  <c r="F52" i="38"/>
  <c r="G51" i="38"/>
  <c r="W44" i="38"/>
  <c r="Z44" i="38"/>
  <c r="AJ116" i="38"/>
  <c r="AA129" i="37"/>
  <c r="AA44" i="38"/>
  <c r="AD44" i="38"/>
  <c r="T216" i="38"/>
  <c r="O229" i="37"/>
  <c r="AF67" i="38"/>
  <c r="X80" i="37"/>
  <c r="W45" i="38"/>
  <c r="Z45" i="38"/>
  <c r="Q59" i="37"/>
  <c r="V46" i="38"/>
  <c r="AB66" i="38"/>
  <c r="U79" i="37"/>
  <c r="AF216" i="38"/>
  <c r="X229" i="37"/>
  <c r="AE43" i="38"/>
  <c r="AH43" i="38"/>
  <c r="AI43" i="38"/>
  <c r="AJ216" i="38"/>
  <c r="AA229" i="37"/>
  <c r="R47" i="38"/>
  <c r="S47" i="38"/>
  <c r="N60" i="37"/>
  <c r="T66" i="38"/>
  <c r="O79" i="37"/>
  <c r="D166" i="38"/>
  <c r="C179" i="37"/>
  <c r="T116" i="38"/>
  <c r="O129" i="37"/>
  <c r="L166" i="38"/>
  <c r="I179" i="37"/>
  <c r="L117" i="38"/>
  <c r="I130" i="37"/>
  <c r="N46" i="38"/>
  <c r="O46" i="38"/>
  <c r="K59" i="37"/>
  <c r="AB116" i="38"/>
  <c r="U129" i="37"/>
  <c r="H66" i="38"/>
  <c r="F79" i="37"/>
  <c r="AB216" i="38"/>
  <c r="U229" i="37"/>
  <c r="AJ66" i="38"/>
  <c r="AA79" i="37"/>
  <c r="H216" i="38"/>
  <c r="F229" i="37"/>
  <c r="H116" i="38"/>
  <c r="F129" i="37"/>
  <c r="X216" i="38"/>
  <c r="R229" i="37"/>
  <c r="P216" i="38"/>
  <c r="L229" i="37"/>
  <c r="D117" i="38"/>
  <c r="C130" i="37"/>
  <c r="J46" i="38"/>
  <c r="K46" i="38"/>
  <c r="H59" i="37"/>
  <c r="L66" i="38"/>
  <c r="I79" i="37"/>
  <c r="D66" i="38"/>
  <c r="C79" i="37"/>
  <c r="G52" i="38"/>
  <c r="F53" i="38"/>
  <c r="P66" i="38"/>
  <c r="L79" i="37"/>
  <c r="B49" i="38"/>
  <c r="C48" i="38"/>
  <c r="AA130" i="37"/>
  <c r="AJ117" i="38"/>
  <c r="G53" i="38"/>
  <c r="F54" i="38"/>
  <c r="D118" i="38"/>
  <c r="C131" i="37"/>
  <c r="AB217" i="38"/>
  <c r="U230" i="37"/>
  <c r="L118" i="38"/>
  <c r="I131" i="37"/>
  <c r="T67" i="38"/>
  <c r="O80" i="37"/>
  <c r="Z46" i="38"/>
  <c r="W46" i="38"/>
  <c r="C49" i="38"/>
  <c r="B50" i="38"/>
  <c r="V47" i="38"/>
  <c r="Q60" i="37"/>
  <c r="H217" i="38"/>
  <c r="F230" i="37"/>
  <c r="J47" i="38"/>
  <c r="K47" i="38"/>
  <c r="H60" i="37"/>
  <c r="H67" i="38"/>
  <c r="F80" i="37"/>
  <c r="R48" i="38"/>
  <c r="S48" i="38"/>
  <c r="N61" i="37"/>
  <c r="AH44" i="38"/>
  <c r="AI44" i="38"/>
  <c r="AE44" i="38"/>
  <c r="L67" i="38"/>
  <c r="I80" i="37"/>
  <c r="X217" i="38"/>
  <c r="R230" i="37"/>
  <c r="AB117" i="38"/>
  <c r="U130" i="37"/>
  <c r="T117" i="38"/>
  <c r="O130" i="37"/>
  <c r="AJ217" i="38"/>
  <c r="AA230" i="37"/>
  <c r="AF217" i="38"/>
  <c r="X230" i="37"/>
  <c r="AD45" i="38"/>
  <c r="AA45" i="38"/>
  <c r="T217" i="38"/>
  <c r="O230" i="37"/>
  <c r="P67" i="38"/>
  <c r="L80" i="37"/>
  <c r="D67" i="38"/>
  <c r="C80" i="37"/>
  <c r="P217" i="38"/>
  <c r="L230" i="37"/>
  <c r="H117" i="38"/>
  <c r="F130" i="37"/>
  <c r="AJ67" i="38"/>
  <c r="AA80" i="37"/>
  <c r="K60" i="37"/>
  <c r="N47" i="38"/>
  <c r="O47" i="38"/>
  <c r="L167" i="38"/>
  <c r="I180" i="37"/>
  <c r="D167" i="38"/>
  <c r="C180" i="37"/>
  <c r="AB67" i="38"/>
  <c r="U80" i="37"/>
  <c r="AF68" i="38"/>
  <c r="X81" i="37"/>
  <c r="AJ118" i="38"/>
  <c r="AA131" i="37"/>
  <c r="L168" i="38"/>
  <c r="I181" i="37"/>
  <c r="P68" i="38"/>
  <c r="L81" i="37"/>
  <c r="V48" i="38"/>
  <c r="Q61" i="37"/>
  <c r="Z47" i="38"/>
  <c r="W47" i="38"/>
  <c r="AF69" i="38"/>
  <c r="X82" i="37"/>
  <c r="AJ68" i="38"/>
  <c r="AA81" i="37"/>
  <c r="AB118" i="38"/>
  <c r="U131" i="37"/>
  <c r="L68" i="38"/>
  <c r="I81" i="37"/>
  <c r="J48" i="38"/>
  <c r="K48" i="38"/>
  <c r="H61" i="37"/>
  <c r="L119" i="38"/>
  <c r="I132" i="37"/>
  <c r="D68" i="38"/>
  <c r="C81" i="37"/>
  <c r="T218" i="38"/>
  <c r="O231" i="37"/>
  <c r="AF218" i="38"/>
  <c r="X231" i="37"/>
  <c r="T118" i="38"/>
  <c r="O131" i="37"/>
  <c r="X218" i="38"/>
  <c r="R231" i="37"/>
  <c r="H68" i="38"/>
  <c r="F81" i="37"/>
  <c r="H218" i="38"/>
  <c r="F231" i="37"/>
  <c r="C50" i="38"/>
  <c r="B51" i="38"/>
  <c r="T68" i="38"/>
  <c r="O81" i="37"/>
  <c r="AB218" i="38"/>
  <c r="U231" i="37"/>
  <c r="F55" i="38"/>
  <c r="G54" i="38"/>
  <c r="AB68" i="38"/>
  <c r="U81" i="37"/>
  <c r="P218" i="38"/>
  <c r="L231" i="37"/>
  <c r="AJ218" i="38"/>
  <c r="AA231" i="37"/>
  <c r="R49" i="38"/>
  <c r="S49" i="38"/>
  <c r="N62" i="37"/>
  <c r="D119" i="38"/>
  <c r="C132" i="37"/>
  <c r="AH45" i="38"/>
  <c r="AI45" i="38"/>
  <c r="AE45" i="38"/>
  <c r="AD46" i="38"/>
  <c r="AA46" i="38"/>
  <c r="D168" i="38"/>
  <c r="C181" i="37"/>
  <c r="H118" i="38"/>
  <c r="F131" i="37"/>
  <c r="N48" i="38"/>
  <c r="O48" i="38"/>
  <c r="K61" i="37"/>
  <c r="AA132" i="37"/>
  <c r="AJ119" i="38"/>
  <c r="AB219" i="38"/>
  <c r="U232" i="37"/>
  <c r="T219" i="38"/>
  <c r="O232" i="37"/>
  <c r="N49" i="38"/>
  <c r="O49" i="38"/>
  <c r="K62" i="37"/>
  <c r="AJ219" i="38"/>
  <c r="AA232" i="37"/>
  <c r="B52" i="38"/>
  <c r="C51" i="38"/>
  <c r="H69" i="38"/>
  <c r="F82" i="37"/>
  <c r="L120" i="38"/>
  <c r="I133" i="37"/>
  <c r="L69" i="38"/>
  <c r="I82" i="37"/>
  <c r="P69" i="38"/>
  <c r="L82" i="37"/>
  <c r="H119" i="38"/>
  <c r="F132" i="37"/>
  <c r="R50" i="38"/>
  <c r="S50" i="38"/>
  <c r="N63" i="37"/>
  <c r="P219" i="38"/>
  <c r="L232" i="37"/>
  <c r="T69" i="38"/>
  <c r="O82" i="37"/>
  <c r="H219" i="38"/>
  <c r="F232" i="37"/>
  <c r="X219" i="38"/>
  <c r="R232" i="37"/>
  <c r="AF219" i="38"/>
  <c r="X232" i="37"/>
  <c r="D69" i="38"/>
  <c r="C82" i="37"/>
  <c r="J49" i="38"/>
  <c r="K49" i="38"/>
  <c r="H62" i="37"/>
  <c r="AB119" i="38"/>
  <c r="U132" i="37"/>
  <c r="AF70" i="38"/>
  <c r="X83" i="37"/>
  <c r="V49" i="38"/>
  <c r="Q62" i="37"/>
  <c r="L169" i="38"/>
  <c r="I182" i="37"/>
  <c r="D169" i="38"/>
  <c r="C182" i="37"/>
  <c r="D120" i="38"/>
  <c r="C133" i="37"/>
  <c r="AB69" i="38"/>
  <c r="U82" i="37"/>
  <c r="T119" i="38"/>
  <c r="O132" i="37"/>
  <c r="AJ69" i="38"/>
  <c r="AA82" i="37"/>
  <c r="AE46" i="38"/>
  <c r="AH46" i="38"/>
  <c r="AI46" i="38"/>
  <c r="AA47" i="38"/>
  <c r="AD47" i="38"/>
  <c r="F56" i="38"/>
  <c r="G55" i="38"/>
  <c r="W48" i="38"/>
  <c r="Z48" i="38"/>
  <c r="AA133" i="37"/>
  <c r="AJ120" i="38"/>
  <c r="AE47" i="38"/>
  <c r="AH47" i="38"/>
  <c r="AI47" i="38"/>
  <c r="V50" i="38"/>
  <c r="Q63" i="37"/>
  <c r="H120" i="38"/>
  <c r="F133" i="37"/>
  <c r="AA48" i="38"/>
  <c r="AD48" i="38"/>
  <c r="U83" i="37"/>
  <c r="AB70" i="38"/>
  <c r="AB120" i="38"/>
  <c r="U133" i="37"/>
  <c r="X220" i="38"/>
  <c r="R233" i="37"/>
  <c r="R51" i="38"/>
  <c r="S51" i="38"/>
  <c r="N64" i="37"/>
  <c r="H70" i="38"/>
  <c r="F83" i="37"/>
  <c r="T220" i="38"/>
  <c r="O233" i="37"/>
  <c r="T120" i="38"/>
  <c r="O133" i="37"/>
  <c r="D121" i="38"/>
  <c r="C134" i="37"/>
  <c r="L170" i="38"/>
  <c r="I183" i="37"/>
  <c r="AF71" i="38"/>
  <c r="X84" i="37"/>
  <c r="J50" i="38"/>
  <c r="K50" i="38"/>
  <c r="H63" i="37"/>
  <c r="AF220" i="38"/>
  <c r="X233" i="37"/>
  <c r="H220" i="38"/>
  <c r="F233" i="37"/>
  <c r="P220" i="38"/>
  <c r="L233" i="37"/>
  <c r="P70" i="38"/>
  <c r="L83" i="37"/>
  <c r="L121" i="38"/>
  <c r="I134" i="37"/>
  <c r="N50" i="38"/>
  <c r="O50" i="38"/>
  <c r="K63" i="37"/>
  <c r="AB220" i="38"/>
  <c r="U233" i="37"/>
  <c r="AJ70" i="38"/>
  <c r="AA83" i="37"/>
  <c r="D170" i="38"/>
  <c r="C183" i="37"/>
  <c r="D70" i="38"/>
  <c r="C83" i="37"/>
  <c r="T70" i="38"/>
  <c r="O83" i="37"/>
  <c r="L70" i="38"/>
  <c r="I83" i="37"/>
  <c r="AJ220" i="38"/>
  <c r="AA233" i="37"/>
  <c r="W49" i="38"/>
  <c r="Z49" i="38"/>
  <c r="G56" i="38"/>
  <c r="F57" i="38"/>
  <c r="B53" i="38"/>
  <c r="C52" i="38"/>
  <c r="AJ121" i="38"/>
  <c r="AA134" i="37"/>
  <c r="AD49" i="38"/>
  <c r="AA49" i="38"/>
  <c r="P71" i="38"/>
  <c r="L84" i="37"/>
  <c r="T221" i="38"/>
  <c r="O234" i="37"/>
  <c r="Z50" i="38"/>
  <c r="W50" i="38"/>
  <c r="D71" i="38"/>
  <c r="C84" i="37"/>
  <c r="N51" i="38"/>
  <c r="O51" i="38"/>
  <c r="K64" i="37"/>
  <c r="AF221" i="38"/>
  <c r="X234" i="37"/>
  <c r="D122" i="38"/>
  <c r="C135" i="37"/>
  <c r="R52" i="38"/>
  <c r="S52" i="38"/>
  <c r="N65" i="37"/>
  <c r="V51" i="38"/>
  <c r="Q64" i="37"/>
  <c r="G57" i="38"/>
  <c r="F58" i="38"/>
  <c r="AJ221" i="38"/>
  <c r="AA234" i="37"/>
  <c r="T71" i="38"/>
  <c r="O84" i="37"/>
  <c r="D171" i="38"/>
  <c r="C184" i="37"/>
  <c r="D7" i="36"/>
  <c r="E7" i="36"/>
  <c r="AB221" i="38"/>
  <c r="U234" i="37"/>
  <c r="L122" i="38"/>
  <c r="I135" i="37"/>
  <c r="H221" i="38"/>
  <c r="F234" i="37"/>
  <c r="J51" i="38"/>
  <c r="K51" i="38"/>
  <c r="H64" i="37"/>
  <c r="L171" i="38"/>
  <c r="I184" i="37"/>
  <c r="T121" i="38"/>
  <c r="O134" i="37"/>
  <c r="H71" i="38"/>
  <c r="F84" i="37"/>
  <c r="X221" i="38"/>
  <c r="R234" i="37"/>
  <c r="H121" i="38"/>
  <c r="F134" i="37"/>
  <c r="L71" i="38"/>
  <c r="I84" i="37"/>
  <c r="AJ71" i="38"/>
  <c r="AA84" i="37"/>
  <c r="P221" i="38"/>
  <c r="L234" i="37"/>
  <c r="AF72" i="38"/>
  <c r="X85" i="37"/>
  <c r="AB121" i="38"/>
  <c r="U134" i="37"/>
  <c r="AH48" i="38"/>
  <c r="AI48" i="38"/>
  <c r="AE48" i="38"/>
  <c r="C53" i="38"/>
  <c r="B54" i="38"/>
  <c r="AB71" i="38"/>
  <c r="U84" i="37"/>
  <c r="AA135" i="37"/>
  <c r="AJ122" i="38"/>
  <c r="AB72" i="38"/>
  <c r="U85" i="37"/>
  <c r="H122" i="38"/>
  <c r="F135" i="37"/>
  <c r="D123" i="38"/>
  <c r="C136" i="37"/>
  <c r="AF73" i="38"/>
  <c r="X86" i="37"/>
  <c r="L172" i="38"/>
  <c r="I185" i="37"/>
  <c r="L123" i="38"/>
  <c r="I136" i="37"/>
  <c r="AJ222" i="38"/>
  <c r="AA235" i="37"/>
  <c r="N52" i="38"/>
  <c r="O52" i="38"/>
  <c r="K65" i="37"/>
  <c r="C54" i="38"/>
  <c r="B55" i="38"/>
  <c r="AB122" i="38"/>
  <c r="U135" i="37"/>
  <c r="P222" i="38"/>
  <c r="L235" i="37"/>
  <c r="L72" i="38"/>
  <c r="I85" i="37"/>
  <c r="X222" i="38"/>
  <c r="R235" i="37"/>
  <c r="T122" i="38"/>
  <c r="O135" i="37"/>
  <c r="H65" i="37"/>
  <c r="J52" i="38"/>
  <c r="K52" i="38"/>
  <c r="AB222" i="38"/>
  <c r="U235" i="37"/>
  <c r="T72" i="38"/>
  <c r="O85" i="37"/>
  <c r="F59" i="38"/>
  <c r="G58" i="38"/>
  <c r="R53" i="38"/>
  <c r="S53" i="38"/>
  <c r="N66" i="37"/>
  <c r="AF222" i="38"/>
  <c r="X235" i="37"/>
  <c r="D72" i="38"/>
  <c r="C85" i="37"/>
  <c r="T222" i="38"/>
  <c r="O235" i="37"/>
  <c r="AJ72" i="38"/>
  <c r="AA85" i="37"/>
  <c r="H72" i="38"/>
  <c r="F85" i="37"/>
  <c r="H222" i="38"/>
  <c r="F235" i="37"/>
  <c r="D172" i="38"/>
  <c r="C185" i="37"/>
  <c r="V52" i="38"/>
  <c r="Q65" i="37"/>
  <c r="P72" i="38"/>
  <c r="L85" i="37"/>
  <c r="Z51" i="38"/>
  <c r="W51" i="38"/>
  <c r="AD50" i="38"/>
  <c r="AA50" i="38"/>
  <c r="AH49" i="38"/>
  <c r="AI49" i="38"/>
  <c r="AE49" i="38"/>
  <c r="AJ123" i="38"/>
  <c r="AA136" i="37"/>
  <c r="AA86" i="37"/>
  <c r="AJ73" i="38"/>
  <c r="V53" i="38"/>
  <c r="Q66" i="37"/>
  <c r="R54" i="38"/>
  <c r="S54" i="38"/>
  <c r="N67" i="37"/>
  <c r="L73" i="38"/>
  <c r="I86" i="37"/>
  <c r="N53" i="38"/>
  <c r="O53" i="38"/>
  <c r="K66" i="37"/>
  <c r="AF74" i="38"/>
  <c r="X87" i="37"/>
  <c r="AF75" i="38"/>
  <c r="W52" i="38"/>
  <c r="Z52" i="38"/>
  <c r="P73" i="38"/>
  <c r="L86" i="37"/>
  <c r="H73" i="38"/>
  <c r="F86" i="37"/>
  <c r="AF223" i="38"/>
  <c r="X236" i="37"/>
  <c r="AB223" i="38"/>
  <c r="U236" i="37"/>
  <c r="X223" i="38"/>
  <c r="R236" i="37"/>
  <c r="P223" i="38"/>
  <c r="L236" i="37"/>
  <c r="B56" i="38"/>
  <c r="C55" i="38"/>
  <c r="AJ223" i="38"/>
  <c r="AA236" i="37"/>
  <c r="L173" i="38"/>
  <c r="I186" i="37"/>
  <c r="D124" i="38"/>
  <c r="C137" i="37"/>
  <c r="D125" i="38"/>
  <c r="AB73" i="38"/>
  <c r="U86" i="37"/>
  <c r="H223" i="38"/>
  <c r="F236" i="37"/>
  <c r="D73" i="38"/>
  <c r="C86" i="37"/>
  <c r="T73" i="38"/>
  <c r="O86" i="37"/>
  <c r="T123" i="38"/>
  <c r="O136" i="37"/>
  <c r="AB123" i="38"/>
  <c r="U136" i="37"/>
  <c r="L124" i="38"/>
  <c r="I137" i="37"/>
  <c r="L125" i="38"/>
  <c r="H123" i="38"/>
  <c r="F136" i="37"/>
  <c r="AA51" i="38"/>
  <c r="AD51" i="38"/>
  <c r="D173" i="38"/>
  <c r="C186" i="37"/>
  <c r="T223" i="38"/>
  <c r="O236" i="37"/>
  <c r="AE50" i="38"/>
  <c r="AH50" i="38"/>
  <c r="AI50" i="38"/>
  <c r="F60" i="38"/>
  <c r="G59" i="38"/>
  <c r="J53" i="38"/>
  <c r="K53" i="38"/>
  <c r="H66" i="37"/>
  <c r="AA137" i="37"/>
  <c r="AJ124" i="38"/>
  <c r="T74" i="38"/>
  <c r="O87" i="37"/>
  <c r="T75" i="38"/>
  <c r="AJ224" i="38"/>
  <c r="AA237" i="37"/>
  <c r="W53" i="38"/>
  <c r="Z53" i="38"/>
  <c r="D174" i="38"/>
  <c r="C187" i="37"/>
  <c r="D175" i="38"/>
  <c r="AB124" i="38"/>
  <c r="U137" i="37"/>
  <c r="AB125" i="38"/>
  <c r="H224" i="38"/>
  <c r="F237" i="37"/>
  <c r="H225" i="38"/>
  <c r="P224" i="38"/>
  <c r="L237" i="37"/>
  <c r="P225" i="38"/>
  <c r="H74" i="38"/>
  <c r="F87" i="37"/>
  <c r="H75" i="38"/>
  <c r="N54" i="38"/>
  <c r="O54" i="38"/>
  <c r="K67" i="37"/>
  <c r="V54" i="38"/>
  <c r="Q67" i="37"/>
  <c r="D74" i="38"/>
  <c r="C87" i="37"/>
  <c r="D75" i="38"/>
  <c r="U87" i="37"/>
  <c r="AB75" i="38"/>
  <c r="AB74" i="38"/>
  <c r="L174" i="38"/>
  <c r="I187" i="37"/>
  <c r="X224" i="38"/>
  <c r="R237" i="37"/>
  <c r="AF224" i="38"/>
  <c r="X237" i="37"/>
  <c r="P74" i="38"/>
  <c r="L87" i="37"/>
  <c r="P75" i="38"/>
  <c r="L74" i="38"/>
  <c r="I87" i="37"/>
  <c r="L75" i="38"/>
  <c r="R55" i="38"/>
  <c r="S55" i="38"/>
  <c r="N68" i="37"/>
  <c r="J54" i="38"/>
  <c r="K54" i="38"/>
  <c r="H67" i="37"/>
  <c r="H124" i="38"/>
  <c r="F137" i="37"/>
  <c r="H125" i="38"/>
  <c r="AB224" i="38"/>
  <c r="U237" i="37"/>
  <c r="AA52" i="38"/>
  <c r="AD52" i="38"/>
  <c r="T224" i="38"/>
  <c r="O237" i="37"/>
  <c r="AE51" i="38"/>
  <c r="AH51" i="38"/>
  <c r="AI51" i="38"/>
  <c r="T124" i="38"/>
  <c r="O137" i="37"/>
  <c r="T125" i="38"/>
  <c r="G60" i="38"/>
  <c r="F61" i="38"/>
  <c r="B57" i="38"/>
  <c r="C56" i="38"/>
  <c r="AJ74" i="38"/>
  <c r="AA87" i="37"/>
  <c r="AJ75" i="38"/>
  <c r="AJ125" i="38"/>
  <c r="AA138" i="37"/>
  <c r="T225" i="38"/>
  <c r="O238" i="37"/>
  <c r="T226" i="38"/>
  <c r="C57" i="38"/>
  <c r="B58" i="38"/>
  <c r="AH52" i="38"/>
  <c r="AI52" i="38"/>
  <c r="AE52" i="38"/>
  <c r="R56" i="38"/>
  <c r="S56" i="38"/>
  <c r="N69" i="37"/>
  <c r="G61" i="38"/>
  <c r="F62" i="38"/>
  <c r="J55" i="38"/>
  <c r="K55" i="38"/>
  <c r="H68" i="37"/>
  <c r="AF225" i="38"/>
  <c r="X238" i="37"/>
  <c r="AF226" i="38"/>
  <c r="L175" i="38"/>
  <c r="I188" i="37"/>
  <c r="N55" i="38"/>
  <c r="O55" i="38"/>
  <c r="K68" i="37"/>
  <c r="AD53" i="38"/>
  <c r="AA53" i="38"/>
  <c r="X225" i="38"/>
  <c r="R238" i="37"/>
  <c r="X226" i="38"/>
  <c r="V55" i="38"/>
  <c r="Q68" i="37"/>
  <c r="AJ225" i="38"/>
  <c r="AA238" i="37"/>
  <c r="AJ226" i="38"/>
  <c r="Z54" i="38"/>
  <c r="W54" i="38"/>
  <c r="AB225" i="38"/>
  <c r="U238" i="37"/>
  <c r="AB226" i="38"/>
  <c r="AJ126" i="38"/>
  <c r="AA139" i="37"/>
  <c r="N56" i="38"/>
  <c r="O56" i="38"/>
  <c r="K69" i="37"/>
  <c r="C58" i="38"/>
  <c r="B59" i="38"/>
  <c r="L176" i="38"/>
  <c r="I189" i="37"/>
  <c r="F63" i="38"/>
  <c r="G62" i="38"/>
  <c r="R57" i="38"/>
  <c r="S57" i="38"/>
  <c r="N70" i="37"/>
  <c r="V56" i="38"/>
  <c r="Q69" i="37"/>
  <c r="J56" i="38"/>
  <c r="K56" i="38"/>
  <c r="H69" i="37"/>
  <c r="AD54" i="38"/>
  <c r="AA54" i="38"/>
  <c r="Z55" i="38"/>
  <c r="W55" i="38"/>
  <c r="AH53" i="38"/>
  <c r="AI53" i="38"/>
  <c r="AE53" i="38"/>
  <c r="AA140" i="37"/>
  <c r="AJ127" i="38"/>
  <c r="J57" i="38"/>
  <c r="K57" i="38"/>
  <c r="H70" i="37"/>
  <c r="L177" i="38"/>
  <c r="I190" i="37"/>
  <c r="V57" i="38"/>
  <c r="Q70" i="37"/>
  <c r="B60" i="38"/>
  <c r="C59" i="38"/>
  <c r="N57" i="38"/>
  <c r="O57" i="38"/>
  <c r="K70" i="37"/>
  <c r="R58" i="38"/>
  <c r="S58" i="38"/>
  <c r="N71" i="37"/>
  <c r="AA55" i="38"/>
  <c r="AD55" i="38"/>
  <c r="AE54" i="38"/>
  <c r="AH54" i="38"/>
  <c r="AI54" i="38"/>
  <c r="W56" i="38"/>
  <c r="Z56" i="38"/>
  <c r="F64" i="38"/>
  <c r="G63" i="38"/>
  <c r="AA141" i="37"/>
  <c r="AJ128" i="38"/>
  <c r="AE55" i="38"/>
  <c r="AH55" i="38"/>
  <c r="AI55" i="38"/>
  <c r="L178" i="38"/>
  <c r="I191" i="37"/>
  <c r="N58" i="38"/>
  <c r="O58" i="38"/>
  <c r="K71" i="37"/>
  <c r="V58" i="38"/>
  <c r="Q71" i="37"/>
  <c r="J58" i="38"/>
  <c r="K58" i="38"/>
  <c r="H71" i="37"/>
  <c r="AA56" i="38"/>
  <c r="AD56" i="38"/>
  <c r="R59" i="38"/>
  <c r="S59" i="38"/>
  <c r="N72" i="37"/>
  <c r="B61" i="38"/>
  <c r="C60" i="38"/>
  <c r="G64" i="38"/>
  <c r="F65" i="38"/>
  <c r="W57" i="38"/>
  <c r="Z57" i="38"/>
  <c r="AA142" i="37"/>
  <c r="AJ129" i="38"/>
  <c r="L179" i="38"/>
  <c r="I192" i="37"/>
  <c r="AD57" i="38"/>
  <c r="AA57" i="38"/>
  <c r="R60" i="38"/>
  <c r="S60" i="38"/>
  <c r="N73" i="37"/>
  <c r="N59" i="38"/>
  <c r="O59" i="38"/>
  <c r="K72" i="37"/>
  <c r="G65" i="38"/>
  <c r="F66" i="38"/>
  <c r="AH56" i="38"/>
  <c r="AI56" i="38"/>
  <c r="AE56" i="38"/>
  <c r="V59" i="38"/>
  <c r="Q72" i="37"/>
  <c r="C61" i="38"/>
  <c r="B62" i="38"/>
  <c r="Z58" i="38"/>
  <c r="W58" i="38"/>
  <c r="J59" i="38"/>
  <c r="K59" i="38"/>
  <c r="H72" i="37"/>
  <c r="AJ130" i="38"/>
  <c r="AA143" i="37"/>
  <c r="J60" i="38"/>
  <c r="K60" i="38"/>
  <c r="H73" i="37"/>
  <c r="V60" i="38"/>
  <c r="Q73" i="37"/>
  <c r="F67" i="38"/>
  <c r="G66" i="38"/>
  <c r="R61" i="38"/>
  <c r="S61" i="38"/>
  <c r="N74" i="37"/>
  <c r="L180" i="38"/>
  <c r="I193" i="37"/>
  <c r="C62" i="38"/>
  <c r="B63" i="38"/>
  <c r="N60" i="38"/>
  <c r="O60" i="38"/>
  <c r="K73" i="37"/>
  <c r="AH57" i="38"/>
  <c r="AI57" i="38"/>
  <c r="AE57" i="38"/>
  <c r="AD58" i="38"/>
  <c r="AA58" i="38"/>
  <c r="Z59" i="38"/>
  <c r="W59" i="38"/>
  <c r="AA144" i="37"/>
  <c r="AJ131" i="38"/>
  <c r="N61" i="38"/>
  <c r="O61" i="38"/>
  <c r="K74" i="37"/>
  <c r="B64" i="38"/>
  <c r="C63" i="38"/>
  <c r="R62" i="38"/>
  <c r="S62" i="38"/>
  <c r="N75" i="37"/>
  <c r="V61" i="38"/>
  <c r="Q74" i="37"/>
  <c r="J61" i="38"/>
  <c r="K61" i="38"/>
  <c r="H74" i="37"/>
  <c r="L181" i="38"/>
  <c r="I194" i="37"/>
  <c r="AE58" i="38"/>
  <c r="AH58" i="38"/>
  <c r="AI58" i="38"/>
  <c r="F68" i="38"/>
  <c r="G67" i="38"/>
  <c r="AA59" i="38"/>
  <c r="AD59" i="38"/>
  <c r="W60" i="38"/>
  <c r="Z60" i="38"/>
  <c r="AJ132" i="38"/>
  <c r="AA145" i="37"/>
  <c r="AA60" i="38"/>
  <c r="AD60" i="38"/>
  <c r="L182" i="38"/>
  <c r="I195" i="37"/>
  <c r="V62" i="38"/>
  <c r="Q75" i="37"/>
  <c r="N62" i="38"/>
  <c r="O62" i="38"/>
  <c r="K75" i="37"/>
  <c r="AE59" i="38"/>
  <c r="AH59" i="38"/>
  <c r="AI59" i="38"/>
  <c r="J62" i="38"/>
  <c r="K62" i="38"/>
  <c r="H75" i="37"/>
  <c r="R63" i="38"/>
  <c r="S63" i="38"/>
  <c r="N76" i="37"/>
  <c r="G68" i="38"/>
  <c r="F69" i="38"/>
  <c r="W61" i="38"/>
  <c r="Z61" i="38"/>
  <c r="B65" i="38"/>
  <c r="C64" i="38"/>
  <c r="AJ133" i="38"/>
  <c r="AA146" i="37"/>
  <c r="N63" i="38"/>
  <c r="O63" i="38"/>
  <c r="K76" i="37"/>
  <c r="AD61" i="38"/>
  <c r="AA61" i="38"/>
  <c r="R64" i="38"/>
  <c r="S64" i="38"/>
  <c r="N77" i="37"/>
  <c r="V63" i="38"/>
  <c r="Q76" i="37"/>
  <c r="AH60" i="38"/>
  <c r="AI60" i="38"/>
  <c r="AE60" i="38"/>
  <c r="Z62" i="38"/>
  <c r="W62" i="38"/>
  <c r="G69" i="38"/>
  <c r="F70" i="38"/>
  <c r="J63" i="38"/>
  <c r="K63" i="38"/>
  <c r="H76" i="37"/>
  <c r="L183" i="38"/>
  <c r="I196" i="37"/>
  <c r="C65" i="38"/>
  <c r="B66" i="38"/>
  <c r="AJ134" i="38"/>
  <c r="AA147" i="37"/>
  <c r="F71" i="38"/>
  <c r="G70" i="38"/>
  <c r="C66" i="38"/>
  <c r="B67" i="38"/>
  <c r="J64" i="38"/>
  <c r="K64" i="38"/>
  <c r="H77" i="37"/>
  <c r="V64" i="38"/>
  <c r="Q77" i="37"/>
  <c r="N64" i="38"/>
  <c r="O64" i="38"/>
  <c r="K77" i="37"/>
  <c r="L184" i="38"/>
  <c r="I197" i="37"/>
  <c r="R65" i="38"/>
  <c r="S65" i="38"/>
  <c r="N78" i="37"/>
  <c r="AD62" i="38"/>
  <c r="AA62" i="38"/>
  <c r="Z63" i="38"/>
  <c r="W63" i="38"/>
  <c r="AH61" i="38"/>
  <c r="AI61" i="38"/>
  <c r="AE61" i="38"/>
  <c r="AJ135" i="38"/>
  <c r="AA148" i="37"/>
  <c r="R66" i="38"/>
  <c r="S66" i="38"/>
  <c r="N79" i="37"/>
  <c r="N65" i="38"/>
  <c r="O65" i="38"/>
  <c r="K78" i="37"/>
  <c r="J65" i="38"/>
  <c r="K65" i="38"/>
  <c r="H78" i="37"/>
  <c r="AA63" i="38"/>
  <c r="AD63" i="38"/>
  <c r="L185" i="38"/>
  <c r="I198" i="37"/>
  <c r="V65" i="38"/>
  <c r="Q78" i="37"/>
  <c r="B68" i="38"/>
  <c r="C67" i="38"/>
  <c r="AE62" i="38"/>
  <c r="AH62" i="38"/>
  <c r="AI62" i="38"/>
  <c r="W64" i="38"/>
  <c r="Z64" i="38"/>
  <c r="F72" i="38"/>
  <c r="G71" i="38"/>
  <c r="AA149" i="37"/>
  <c r="AJ136" i="38"/>
  <c r="AA64" i="38"/>
  <c r="AD64" i="38"/>
  <c r="L186" i="38"/>
  <c r="I199" i="37"/>
  <c r="N66" i="38"/>
  <c r="O66" i="38"/>
  <c r="K79" i="37"/>
  <c r="B69" i="38"/>
  <c r="C68" i="38"/>
  <c r="V66" i="38"/>
  <c r="Q79" i="37"/>
  <c r="AE63" i="38"/>
  <c r="AH63" i="38"/>
  <c r="AI63" i="38"/>
  <c r="J66" i="38"/>
  <c r="K66" i="38"/>
  <c r="H79" i="37"/>
  <c r="R67" i="38"/>
  <c r="S67" i="38"/>
  <c r="N80" i="37"/>
  <c r="G72" i="38"/>
  <c r="F73" i="38"/>
  <c r="W65" i="38"/>
  <c r="Z65" i="38"/>
  <c r="AJ137" i="38"/>
  <c r="AA150" i="37"/>
  <c r="L187" i="38"/>
  <c r="I200" i="37"/>
  <c r="Z66" i="38"/>
  <c r="W66" i="38"/>
  <c r="AH64" i="38"/>
  <c r="AI64" i="38"/>
  <c r="AE64" i="38"/>
  <c r="G73" i="38"/>
  <c r="F74" i="38"/>
  <c r="J67" i="38"/>
  <c r="K67" i="38"/>
  <c r="H80" i="37"/>
  <c r="V67" i="38"/>
  <c r="Q80" i="37"/>
  <c r="N67" i="38"/>
  <c r="O67" i="38"/>
  <c r="K80" i="37"/>
  <c r="AD65" i="38"/>
  <c r="AA65" i="38"/>
  <c r="R68" i="38"/>
  <c r="S68" i="38"/>
  <c r="N81" i="37"/>
  <c r="C69" i="38"/>
  <c r="B70" i="38"/>
  <c r="AJ138" i="38"/>
  <c r="AA151" i="37"/>
  <c r="V68" i="38"/>
  <c r="Q81" i="37"/>
  <c r="F75" i="38"/>
  <c r="G74" i="38"/>
  <c r="AH65" i="38"/>
  <c r="AI65" i="38"/>
  <c r="AE65" i="38"/>
  <c r="Z67" i="38"/>
  <c r="W67" i="38"/>
  <c r="AD66" i="38"/>
  <c r="AA66" i="38"/>
  <c r="C70" i="38"/>
  <c r="B71" i="38"/>
  <c r="R69" i="38"/>
  <c r="S69" i="38"/>
  <c r="N82" i="37"/>
  <c r="N68" i="38"/>
  <c r="O68" i="38"/>
  <c r="K81" i="37"/>
  <c r="J68" i="38"/>
  <c r="K68" i="38"/>
  <c r="H81" i="37"/>
  <c r="L188" i="38"/>
  <c r="I201" i="37"/>
  <c r="AJ139" i="38"/>
  <c r="AA152" i="37"/>
  <c r="R70" i="38"/>
  <c r="S70" i="38"/>
  <c r="N83" i="37"/>
  <c r="B72" i="38"/>
  <c r="C71" i="38"/>
  <c r="J69" i="38"/>
  <c r="K69" i="38"/>
  <c r="H82" i="37"/>
  <c r="V69" i="38"/>
  <c r="Q82" i="37"/>
  <c r="AE66" i="38"/>
  <c r="AH66" i="38"/>
  <c r="AI66" i="38"/>
  <c r="W68" i="38"/>
  <c r="Z68" i="38"/>
  <c r="L189" i="38"/>
  <c r="I202" i="37"/>
  <c r="N69" i="38"/>
  <c r="O69" i="38"/>
  <c r="K82" i="37"/>
  <c r="AA67" i="38"/>
  <c r="AD67" i="38"/>
  <c r="F76" i="38"/>
  <c r="G75" i="38"/>
  <c r="AJ140" i="38"/>
  <c r="AA153" i="37"/>
  <c r="L190" i="38"/>
  <c r="I203" i="37"/>
  <c r="N70" i="38"/>
  <c r="O70" i="38"/>
  <c r="K83" i="37"/>
  <c r="AE67" i="38"/>
  <c r="AH67" i="38"/>
  <c r="AI67" i="38"/>
  <c r="J70" i="38"/>
  <c r="K70" i="38"/>
  <c r="H83" i="37"/>
  <c r="B73" i="38"/>
  <c r="C72" i="38"/>
  <c r="AA68" i="38"/>
  <c r="AD68" i="38"/>
  <c r="V70" i="38"/>
  <c r="Q83" i="37"/>
  <c r="R71" i="38"/>
  <c r="S71" i="38"/>
  <c r="N84" i="37"/>
  <c r="G76" i="38"/>
  <c r="F77" i="38"/>
  <c r="W69" i="38"/>
  <c r="Z69" i="38"/>
  <c r="AJ141" i="38"/>
  <c r="AA154" i="37"/>
  <c r="G77" i="38"/>
  <c r="F78" i="38"/>
  <c r="AH68" i="38"/>
  <c r="AI68" i="38"/>
  <c r="AE68" i="38"/>
  <c r="J71" i="38"/>
  <c r="K71" i="38"/>
  <c r="H84" i="37"/>
  <c r="N71" i="38"/>
  <c r="O71" i="38"/>
  <c r="K84" i="37"/>
  <c r="AD69" i="38"/>
  <c r="AA69" i="38"/>
  <c r="R72" i="38"/>
  <c r="S72" i="38"/>
  <c r="N85" i="37"/>
  <c r="V71" i="38"/>
  <c r="Q84" i="37"/>
  <c r="L191" i="38"/>
  <c r="I204" i="37"/>
  <c r="Z70" i="38"/>
  <c r="W70" i="38"/>
  <c r="C73" i="38"/>
  <c r="B74" i="38"/>
  <c r="AA155" i="37"/>
  <c r="AJ142" i="38"/>
  <c r="V72" i="38"/>
  <c r="Q85" i="37"/>
  <c r="J72" i="38"/>
  <c r="K72" i="38"/>
  <c r="H85" i="37"/>
  <c r="Z71" i="38"/>
  <c r="W71" i="38"/>
  <c r="AH69" i="38"/>
  <c r="AI69" i="38"/>
  <c r="AE69" i="38"/>
  <c r="R73" i="38"/>
  <c r="S73" i="38"/>
  <c r="N86" i="37"/>
  <c r="F79" i="38"/>
  <c r="G78" i="38"/>
  <c r="AD70" i="38"/>
  <c r="AA70" i="38"/>
  <c r="C74" i="38"/>
  <c r="B75" i="38"/>
  <c r="L192" i="38"/>
  <c r="I205" i="37"/>
  <c r="N72" i="38"/>
  <c r="O72" i="38"/>
  <c r="K85" i="37"/>
  <c r="AJ143" i="38"/>
  <c r="AA156" i="37"/>
  <c r="L193" i="38"/>
  <c r="I206" i="37"/>
  <c r="N73" i="38"/>
  <c r="O73" i="38"/>
  <c r="K86" i="37"/>
  <c r="B76" i="38"/>
  <c r="C75" i="38"/>
  <c r="R74" i="38"/>
  <c r="S74" i="38"/>
  <c r="N87" i="37"/>
  <c r="V73" i="38"/>
  <c r="Q86" i="37"/>
  <c r="J73" i="38"/>
  <c r="K73" i="38"/>
  <c r="H86" i="37"/>
  <c r="AE70" i="38"/>
  <c r="AH70" i="38"/>
  <c r="AI70" i="38"/>
  <c r="F80" i="38"/>
  <c r="G79" i="38"/>
  <c r="AA71" i="38"/>
  <c r="AD71" i="38"/>
  <c r="W72" i="38"/>
  <c r="Z72" i="38"/>
  <c r="AA157" i="37"/>
  <c r="AJ144" i="38"/>
  <c r="AE71" i="38"/>
  <c r="AH71" i="38"/>
  <c r="AI71" i="38"/>
  <c r="V74" i="38"/>
  <c r="Q87" i="37"/>
  <c r="R75" i="38"/>
  <c r="S75" i="38"/>
  <c r="N88" i="37"/>
  <c r="L194" i="38"/>
  <c r="I207" i="37"/>
  <c r="N74" i="38"/>
  <c r="O74" i="38"/>
  <c r="K87" i="37"/>
  <c r="W73" i="38"/>
  <c r="Z73" i="38"/>
  <c r="AA72" i="38"/>
  <c r="AD72" i="38"/>
  <c r="J74" i="38"/>
  <c r="K74" i="38"/>
  <c r="H87" i="37"/>
  <c r="G80" i="38"/>
  <c r="F81" i="38"/>
  <c r="B77" i="38"/>
  <c r="C76" i="38"/>
  <c r="AA158" i="37"/>
  <c r="AJ145" i="38"/>
  <c r="G81" i="38"/>
  <c r="F82" i="38"/>
  <c r="V75" i="38"/>
  <c r="Q88" i="37"/>
  <c r="AD73" i="38"/>
  <c r="AA73" i="38"/>
  <c r="AH72" i="38"/>
  <c r="AI72" i="38"/>
  <c r="AE72" i="38"/>
  <c r="N75" i="38"/>
  <c r="O75" i="38"/>
  <c r="K88" i="37"/>
  <c r="R76" i="38"/>
  <c r="S76" i="38"/>
  <c r="N89" i="37"/>
  <c r="Z74" i="38"/>
  <c r="W74" i="38"/>
  <c r="J75" i="38"/>
  <c r="K75" i="38"/>
  <c r="H88" i="37"/>
  <c r="L195" i="38"/>
  <c r="I208" i="37"/>
  <c r="C77" i="38"/>
  <c r="B78" i="38"/>
  <c r="AJ146" i="38"/>
  <c r="AA159" i="37"/>
  <c r="R77" i="38"/>
  <c r="S77" i="38"/>
  <c r="N90" i="37"/>
  <c r="V76" i="38"/>
  <c r="Q89" i="37"/>
  <c r="L196" i="38"/>
  <c r="I209" i="37"/>
  <c r="F83" i="38"/>
  <c r="G82" i="38"/>
  <c r="J76" i="38"/>
  <c r="K76" i="38"/>
  <c r="H89" i="37"/>
  <c r="Z75" i="38"/>
  <c r="W75" i="38"/>
  <c r="C78" i="38"/>
  <c r="B79" i="38"/>
  <c r="N76" i="38"/>
  <c r="O76" i="38"/>
  <c r="K89" i="37"/>
  <c r="AD74" i="38"/>
  <c r="AA74" i="38"/>
  <c r="AH73" i="38"/>
  <c r="AI73" i="38"/>
  <c r="AE73" i="38"/>
  <c r="AJ147" i="38"/>
  <c r="AA160" i="37"/>
  <c r="J77" i="38"/>
  <c r="K77" i="38"/>
  <c r="H90" i="37"/>
  <c r="B80" i="38"/>
  <c r="C79" i="38"/>
  <c r="L197" i="38"/>
  <c r="I210" i="37"/>
  <c r="R78" i="38"/>
  <c r="S78" i="38"/>
  <c r="N91" i="37"/>
  <c r="AE74" i="38"/>
  <c r="AH74" i="38"/>
  <c r="AI74" i="38"/>
  <c r="N77" i="38"/>
  <c r="O77" i="38"/>
  <c r="K90" i="37"/>
  <c r="V77" i="38"/>
  <c r="Q90" i="37"/>
  <c r="AA75" i="38"/>
  <c r="AD75" i="38"/>
  <c r="F84" i="38"/>
  <c r="G83" i="38"/>
  <c r="W76" i="38"/>
  <c r="Z76" i="38"/>
  <c r="AJ148" i="38"/>
  <c r="AA161" i="37"/>
  <c r="V78" i="38"/>
  <c r="Q91" i="37"/>
  <c r="L198" i="38"/>
  <c r="I211" i="37"/>
  <c r="F85" i="38"/>
  <c r="G84" i="38"/>
  <c r="AE75" i="38"/>
  <c r="AH75" i="38"/>
  <c r="AI75" i="38"/>
  <c r="R79" i="38"/>
  <c r="S79" i="38"/>
  <c r="N92" i="37"/>
  <c r="J78" i="38"/>
  <c r="K78" i="38"/>
  <c r="H91" i="37"/>
  <c r="W77" i="38"/>
  <c r="Z77" i="38"/>
  <c r="AA76" i="38"/>
  <c r="AD76" i="38"/>
  <c r="N78" i="38"/>
  <c r="O78" i="38"/>
  <c r="K91" i="37"/>
  <c r="B81" i="38"/>
  <c r="C80" i="38"/>
  <c r="AA162" i="37"/>
  <c r="AJ149" i="38"/>
  <c r="N79" i="38"/>
  <c r="O79" i="38"/>
  <c r="K92" i="37"/>
  <c r="J79" i="38"/>
  <c r="K79" i="38"/>
  <c r="H92" i="37"/>
  <c r="R80" i="38"/>
  <c r="S80" i="38"/>
  <c r="N93" i="37"/>
  <c r="V79" i="38"/>
  <c r="Q92" i="37"/>
  <c r="AD77" i="38"/>
  <c r="AA77" i="38"/>
  <c r="L199" i="38"/>
  <c r="I212" i="37"/>
  <c r="AH76" i="38"/>
  <c r="AI76" i="38"/>
  <c r="AE76" i="38"/>
  <c r="B82" i="38"/>
  <c r="C81" i="38"/>
  <c r="G85" i="38"/>
  <c r="F86" i="38"/>
  <c r="Z78" i="38"/>
  <c r="W78" i="38"/>
  <c r="AJ150" i="38"/>
  <c r="AA163" i="37"/>
  <c r="G86" i="38"/>
  <c r="F87" i="38"/>
  <c r="R81" i="38"/>
  <c r="S81" i="38"/>
  <c r="N94" i="37"/>
  <c r="L200" i="38"/>
  <c r="I213" i="37"/>
  <c r="V80" i="38"/>
  <c r="Q93" i="37"/>
  <c r="N80" i="38"/>
  <c r="O80" i="38"/>
  <c r="K93" i="37"/>
  <c r="J80" i="38"/>
  <c r="K80" i="38"/>
  <c r="H93" i="37"/>
  <c r="AH77" i="38"/>
  <c r="AI77" i="38"/>
  <c r="AE77" i="38"/>
  <c r="AD78" i="38"/>
  <c r="AA78" i="38"/>
  <c r="C82" i="38"/>
  <c r="B83" i="38"/>
  <c r="Z79" i="38"/>
  <c r="W79" i="38"/>
  <c r="AJ151" i="38"/>
  <c r="AA164" i="37"/>
  <c r="B84" i="38"/>
  <c r="C83" i="38"/>
  <c r="R82" i="38"/>
  <c r="S82" i="38"/>
  <c r="N95" i="37"/>
  <c r="F88" i="38"/>
  <c r="G87" i="38"/>
  <c r="K94" i="37"/>
  <c r="N81" i="38"/>
  <c r="O81" i="38"/>
  <c r="V81" i="38"/>
  <c r="Q94" i="37"/>
  <c r="Z80" i="38"/>
  <c r="W80" i="38"/>
  <c r="J81" i="38"/>
  <c r="K81" i="38"/>
  <c r="H94" i="37"/>
  <c r="L201" i="38"/>
  <c r="I214" i="37"/>
  <c r="AA79" i="38"/>
  <c r="AD79" i="38"/>
  <c r="AE78" i="38"/>
  <c r="AH78" i="38"/>
  <c r="AI78" i="38"/>
  <c r="AJ152" i="38"/>
  <c r="AA165" i="37"/>
  <c r="R83" i="38"/>
  <c r="S83" i="38"/>
  <c r="N96" i="37"/>
  <c r="AA80" i="38"/>
  <c r="AD80" i="38"/>
  <c r="N82" i="38"/>
  <c r="O82" i="38"/>
  <c r="K95" i="37"/>
  <c r="J82" i="38"/>
  <c r="K82" i="38"/>
  <c r="H95" i="37"/>
  <c r="V82" i="38"/>
  <c r="Q95" i="37"/>
  <c r="AE79" i="38"/>
  <c r="AH79" i="38"/>
  <c r="AI79" i="38"/>
  <c r="L202" i="38"/>
  <c r="I215" i="37"/>
  <c r="W81" i="38"/>
  <c r="Z81" i="38"/>
  <c r="F89" i="38"/>
  <c r="G88" i="38"/>
  <c r="B85" i="38"/>
  <c r="C84" i="38"/>
  <c r="AJ153" i="38"/>
  <c r="AA166" i="37"/>
  <c r="V83" i="38"/>
  <c r="Q96" i="37"/>
  <c r="R84" i="38"/>
  <c r="S84" i="38"/>
  <c r="N97" i="37"/>
  <c r="J83" i="38"/>
  <c r="K83" i="38"/>
  <c r="H96" i="37"/>
  <c r="L203" i="38"/>
  <c r="I216" i="37"/>
  <c r="N83" i="38"/>
  <c r="O83" i="38"/>
  <c r="K96" i="37"/>
  <c r="G89" i="38"/>
  <c r="F90" i="38"/>
  <c r="W82" i="38"/>
  <c r="Z82" i="38"/>
  <c r="AD81" i="38"/>
  <c r="AA81" i="38"/>
  <c r="AE80" i="38"/>
  <c r="AH80" i="38"/>
  <c r="AI80" i="38"/>
  <c r="B86" i="38"/>
  <c r="C85" i="38"/>
  <c r="AJ154" i="38"/>
  <c r="AA167" i="37"/>
  <c r="C86" i="38"/>
  <c r="B87" i="38"/>
  <c r="AD82" i="38"/>
  <c r="AA82" i="38"/>
  <c r="N84" i="38"/>
  <c r="O84" i="38"/>
  <c r="K97" i="37"/>
  <c r="R85" i="38"/>
  <c r="S85" i="38"/>
  <c r="N98" i="37"/>
  <c r="G90" i="38"/>
  <c r="F91" i="38"/>
  <c r="L204" i="38"/>
  <c r="I217" i="37"/>
  <c r="J84" i="38"/>
  <c r="K84" i="38"/>
  <c r="H97" i="37"/>
  <c r="V84" i="38"/>
  <c r="Q97" i="37"/>
  <c r="AH81" i="38"/>
  <c r="AI81" i="38"/>
  <c r="AE81" i="38"/>
  <c r="Z83" i="38"/>
  <c r="W83" i="38"/>
  <c r="AJ155" i="38"/>
  <c r="AA168" i="37"/>
  <c r="J85" i="38"/>
  <c r="K85" i="38"/>
  <c r="H98" i="37"/>
  <c r="F92" i="38"/>
  <c r="G91" i="38"/>
  <c r="AH82" i="38"/>
  <c r="AI82" i="38"/>
  <c r="AE82" i="38"/>
  <c r="V85" i="38"/>
  <c r="Q98" i="37"/>
  <c r="L205" i="38"/>
  <c r="I218" i="37"/>
  <c r="R86" i="38"/>
  <c r="S86" i="38"/>
  <c r="N99" i="37"/>
  <c r="K98" i="37"/>
  <c r="N85" i="38"/>
  <c r="O85" i="38"/>
  <c r="C87" i="38"/>
  <c r="B88" i="38"/>
  <c r="AA83" i="38"/>
  <c r="AD83" i="38"/>
  <c r="Z84" i="38"/>
  <c r="W84" i="38"/>
  <c r="AJ156" i="38"/>
  <c r="AA169" i="37"/>
  <c r="AA84" i="38"/>
  <c r="AD84" i="38"/>
  <c r="W85" i="38"/>
  <c r="Z85" i="38"/>
  <c r="AE83" i="38"/>
  <c r="AH83" i="38"/>
  <c r="AI83" i="38"/>
  <c r="L206" i="38"/>
  <c r="I219" i="37"/>
  <c r="N86" i="38"/>
  <c r="O86" i="38"/>
  <c r="K99" i="37"/>
  <c r="F93" i="38"/>
  <c r="G92" i="38"/>
  <c r="B89" i="38"/>
  <c r="C88" i="38"/>
  <c r="R87" i="38"/>
  <c r="S87" i="38"/>
  <c r="N100" i="37"/>
  <c r="V86" i="38"/>
  <c r="Q99" i="37"/>
  <c r="J86" i="38"/>
  <c r="K86" i="38"/>
  <c r="H99" i="37"/>
  <c r="AJ157" i="38"/>
  <c r="AA170" i="37"/>
  <c r="AA85" i="38"/>
  <c r="AD85" i="38"/>
  <c r="R88" i="38"/>
  <c r="S88" i="38"/>
  <c r="N101" i="37"/>
  <c r="L207" i="38"/>
  <c r="I220" i="37"/>
  <c r="G93" i="38"/>
  <c r="F94" i="38"/>
  <c r="J87" i="38"/>
  <c r="K87" i="38"/>
  <c r="H100" i="37"/>
  <c r="V87" i="38"/>
  <c r="Q100" i="37"/>
  <c r="N87" i="38"/>
  <c r="O87" i="38"/>
  <c r="K100" i="37"/>
  <c r="AE84" i="38"/>
  <c r="AH84" i="38"/>
  <c r="AI84" i="38"/>
  <c r="W86" i="38"/>
  <c r="Z86" i="38"/>
  <c r="B90" i="38"/>
  <c r="C89" i="38"/>
  <c r="AJ158" i="38"/>
  <c r="AA171" i="37"/>
  <c r="N88" i="38"/>
  <c r="O88" i="38"/>
  <c r="K101" i="37"/>
  <c r="R89" i="38"/>
  <c r="S89" i="38"/>
  <c r="N102" i="37"/>
  <c r="AD86" i="38"/>
  <c r="AA86" i="38"/>
  <c r="J88" i="38"/>
  <c r="K88" i="38"/>
  <c r="H101" i="37"/>
  <c r="L208" i="38"/>
  <c r="I221" i="37"/>
  <c r="V88" i="38"/>
  <c r="Q101" i="37"/>
  <c r="G94" i="38"/>
  <c r="F95" i="38"/>
  <c r="AH85" i="38"/>
  <c r="AI85" i="38"/>
  <c r="AE85" i="38"/>
  <c r="C90" i="38"/>
  <c r="B91" i="38"/>
  <c r="Z87" i="38"/>
  <c r="W87" i="38"/>
  <c r="AA172" i="37"/>
  <c r="AJ159" i="38"/>
  <c r="C91" i="38"/>
  <c r="B92" i="38"/>
  <c r="F96" i="38"/>
  <c r="G95" i="38"/>
  <c r="L209" i="38"/>
  <c r="I222" i="37"/>
  <c r="AH86" i="38"/>
  <c r="AI86" i="38"/>
  <c r="AE86" i="38"/>
  <c r="V89" i="38"/>
  <c r="Q102" i="37"/>
  <c r="J89" i="38"/>
  <c r="K89" i="38"/>
  <c r="H102" i="37"/>
  <c r="R90" i="38"/>
  <c r="S90" i="38"/>
  <c r="N103" i="37"/>
  <c r="N89" i="38"/>
  <c r="O89" i="38"/>
  <c r="K102" i="37"/>
  <c r="AD87" i="38"/>
  <c r="AA87" i="38"/>
  <c r="Z88" i="38"/>
  <c r="W88" i="38"/>
  <c r="AJ160" i="38"/>
  <c r="AA173" i="37"/>
  <c r="R91" i="38"/>
  <c r="S91" i="38"/>
  <c r="N104" i="37"/>
  <c r="V90" i="38"/>
  <c r="Q103" i="37"/>
  <c r="AE87" i="38"/>
  <c r="AH87" i="38"/>
  <c r="AI87" i="38"/>
  <c r="W89" i="38"/>
  <c r="Z89" i="38"/>
  <c r="F97" i="38"/>
  <c r="G96" i="38"/>
  <c r="N90" i="38"/>
  <c r="O90" i="38"/>
  <c r="K103" i="37"/>
  <c r="J90" i="38"/>
  <c r="K90" i="38"/>
  <c r="H103" i="37"/>
  <c r="L210" i="38"/>
  <c r="I223" i="37"/>
  <c r="B93" i="38"/>
  <c r="C92" i="38"/>
  <c r="AA88" i="38"/>
  <c r="AD88" i="38"/>
  <c r="AJ161" i="38"/>
  <c r="AA174" i="37"/>
  <c r="J91" i="38"/>
  <c r="K91" i="38"/>
  <c r="H104" i="37"/>
  <c r="V91" i="38"/>
  <c r="Q104" i="37"/>
  <c r="B94" i="38"/>
  <c r="C93" i="38"/>
  <c r="G97" i="38"/>
  <c r="F98" i="38"/>
  <c r="W90" i="38"/>
  <c r="Z90" i="38"/>
  <c r="AE88" i="38"/>
  <c r="AH88" i="38"/>
  <c r="AI88" i="38"/>
  <c r="L211" i="38"/>
  <c r="I224" i="37"/>
  <c r="N91" i="38"/>
  <c r="O91" i="38"/>
  <c r="K104" i="37"/>
  <c r="AA89" i="38"/>
  <c r="AD89" i="38"/>
  <c r="R92" i="38"/>
  <c r="S92" i="38"/>
  <c r="N105" i="37"/>
  <c r="AJ162" i="38"/>
  <c r="AA175" i="37"/>
  <c r="G98" i="38"/>
  <c r="F99" i="38"/>
  <c r="N92" i="38"/>
  <c r="O92" i="38"/>
  <c r="K105" i="37"/>
  <c r="V92" i="38"/>
  <c r="Q105" i="37"/>
  <c r="Z91" i="38"/>
  <c r="W91" i="38"/>
  <c r="R93" i="38"/>
  <c r="S93" i="38"/>
  <c r="N106" i="37"/>
  <c r="AH89" i="38"/>
  <c r="AI89" i="38"/>
  <c r="AE89" i="38"/>
  <c r="L212" i="38"/>
  <c r="I225" i="37"/>
  <c r="AD90" i="38"/>
  <c r="AA90" i="38"/>
  <c r="J92" i="38"/>
  <c r="K92" i="38"/>
  <c r="H105" i="37"/>
  <c r="C94" i="38"/>
  <c r="B95" i="38"/>
  <c r="AJ163" i="38"/>
  <c r="AA176" i="37"/>
  <c r="L213" i="38"/>
  <c r="I226" i="37"/>
  <c r="C95" i="38"/>
  <c r="B96" i="38"/>
  <c r="J93" i="38"/>
  <c r="K93" i="38"/>
  <c r="H106" i="37"/>
  <c r="R94" i="38"/>
  <c r="S94" i="38"/>
  <c r="N107" i="37"/>
  <c r="V93" i="38"/>
  <c r="Q106" i="37"/>
  <c r="Z92" i="38"/>
  <c r="W92" i="38"/>
  <c r="N93" i="38"/>
  <c r="O93" i="38"/>
  <c r="K106" i="37"/>
  <c r="F100" i="38"/>
  <c r="G99" i="38"/>
  <c r="AH90" i="38"/>
  <c r="AI90" i="38"/>
  <c r="AE90" i="38"/>
  <c r="AD91" i="38"/>
  <c r="AA91" i="38"/>
  <c r="AA177" i="37"/>
  <c r="AJ164" i="38"/>
  <c r="B97" i="38"/>
  <c r="C96" i="38"/>
  <c r="N94" i="38"/>
  <c r="O94" i="38"/>
  <c r="K107" i="37"/>
  <c r="R95" i="38"/>
  <c r="S95" i="38"/>
  <c r="N108" i="37"/>
  <c r="V94" i="38"/>
  <c r="Q107" i="37"/>
  <c r="J94" i="38"/>
  <c r="K94" i="38"/>
  <c r="H107" i="37"/>
  <c r="L214" i="38"/>
  <c r="I227" i="37"/>
  <c r="AE91" i="38"/>
  <c r="AH91" i="38"/>
  <c r="AI91" i="38"/>
  <c r="F101" i="38"/>
  <c r="G100" i="38"/>
  <c r="AA92" i="38"/>
  <c r="AD92" i="38"/>
  <c r="W93" i="38"/>
  <c r="Z93" i="38"/>
  <c r="AJ165" i="38"/>
  <c r="AA178" i="37"/>
  <c r="AA93" i="38"/>
  <c r="AD93" i="38"/>
  <c r="L215" i="38"/>
  <c r="I228" i="37"/>
  <c r="V95" i="38"/>
  <c r="Q108" i="37"/>
  <c r="G101" i="38"/>
  <c r="F102" i="38"/>
  <c r="W94" i="38"/>
  <c r="Z94" i="38"/>
  <c r="B98" i="38"/>
  <c r="C97" i="38"/>
  <c r="AE92" i="38"/>
  <c r="AH92" i="38"/>
  <c r="AI92" i="38"/>
  <c r="J95" i="38"/>
  <c r="K95" i="38"/>
  <c r="H108" i="37"/>
  <c r="R96" i="38"/>
  <c r="S96" i="38"/>
  <c r="N109" i="37"/>
  <c r="N95" i="38"/>
  <c r="O95" i="38"/>
  <c r="K108" i="37"/>
  <c r="AJ166" i="38"/>
  <c r="AA179" i="37"/>
  <c r="L216" i="38"/>
  <c r="I229" i="37"/>
  <c r="R97" i="38"/>
  <c r="S97" i="38"/>
  <c r="N110" i="37"/>
  <c r="AD94" i="38"/>
  <c r="AA94" i="38"/>
  <c r="N96" i="38"/>
  <c r="O96" i="38"/>
  <c r="K109" i="37"/>
  <c r="J96" i="38"/>
  <c r="K96" i="38"/>
  <c r="H109" i="37"/>
  <c r="G102" i="38"/>
  <c r="F103" i="38"/>
  <c r="V96" i="38"/>
  <c r="Q109" i="37"/>
  <c r="AH93" i="38"/>
  <c r="AI93" i="38"/>
  <c r="AE93" i="38"/>
  <c r="C98" i="38"/>
  <c r="B99" i="38"/>
  <c r="Z95" i="38"/>
  <c r="W95" i="38"/>
  <c r="AA180" i="37"/>
  <c r="AJ167" i="38"/>
  <c r="C99" i="38"/>
  <c r="B100" i="38"/>
  <c r="V97" i="38"/>
  <c r="Q110" i="37"/>
  <c r="J97" i="38"/>
  <c r="K97" i="38"/>
  <c r="H110" i="37"/>
  <c r="R98" i="38"/>
  <c r="S98" i="38"/>
  <c r="N111" i="37"/>
  <c r="Z96" i="38"/>
  <c r="W96" i="38"/>
  <c r="F104" i="38"/>
  <c r="G103" i="38"/>
  <c r="N97" i="38"/>
  <c r="O97" i="38"/>
  <c r="K110" i="37"/>
  <c r="L217" i="38"/>
  <c r="I230" i="37"/>
  <c r="AD95" i="38"/>
  <c r="AA95" i="38"/>
  <c r="AH94" i="38"/>
  <c r="AI94" i="38"/>
  <c r="AE94" i="38"/>
  <c r="AJ168" i="38"/>
  <c r="AA181" i="37"/>
  <c r="AA96" i="38"/>
  <c r="AD96" i="38"/>
  <c r="L218" i="38"/>
  <c r="I231" i="37"/>
  <c r="V98" i="38"/>
  <c r="Q111" i="37"/>
  <c r="F105" i="38"/>
  <c r="G104" i="38"/>
  <c r="W97" i="38"/>
  <c r="Z97" i="38"/>
  <c r="N98" i="38"/>
  <c r="O98" i="38"/>
  <c r="K111" i="37"/>
  <c r="J98" i="38"/>
  <c r="K98" i="38"/>
  <c r="H111" i="37"/>
  <c r="B101" i="38"/>
  <c r="C100" i="38"/>
  <c r="AE95" i="38"/>
  <c r="AH95" i="38"/>
  <c r="AI95" i="38"/>
  <c r="R99" i="38"/>
  <c r="S99" i="38"/>
  <c r="N112" i="37"/>
  <c r="AJ169" i="38"/>
  <c r="AA182" i="37"/>
  <c r="J99" i="38"/>
  <c r="K99" i="38"/>
  <c r="H112" i="37"/>
  <c r="AA97" i="38"/>
  <c r="AD97" i="38"/>
  <c r="L219" i="38"/>
  <c r="I232" i="37"/>
  <c r="R100" i="38"/>
  <c r="S100" i="38"/>
  <c r="N113" i="37"/>
  <c r="N99" i="38"/>
  <c r="O99" i="38"/>
  <c r="K112" i="37"/>
  <c r="V99" i="38"/>
  <c r="Q112" i="37"/>
  <c r="AE96" i="38"/>
  <c r="AH96" i="38"/>
  <c r="AI96" i="38"/>
  <c r="B102" i="38"/>
  <c r="C101" i="38"/>
  <c r="G105" i="38"/>
  <c r="F106" i="38"/>
  <c r="W98" i="38"/>
  <c r="Z98" i="38"/>
  <c r="AJ170" i="38"/>
  <c r="AA183" i="37"/>
  <c r="AD98" i="38"/>
  <c r="AA98" i="38"/>
  <c r="G106" i="38"/>
  <c r="F107" i="38"/>
  <c r="V100" i="38"/>
  <c r="Q113" i="37"/>
  <c r="R101" i="38"/>
  <c r="S101" i="38"/>
  <c r="N114" i="37"/>
  <c r="AH97" i="38"/>
  <c r="AI97" i="38"/>
  <c r="AE97" i="38"/>
  <c r="Z99" i="38"/>
  <c r="W99" i="38"/>
  <c r="N100" i="38"/>
  <c r="O100" i="38"/>
  <c r="K113" i="37"/>
  <c r="L220" i="38"/>
  <c r="I233" i="37"/>
  <c r="J100" i="38"/>
  <c r="K100" i="38"/>
  <c r="H113" i="37"/>
  <c r="C102" i="38"/>
  <c r="B103" i="38"/>
  <c r="AJ171" i="38"/>
  <c r="AA184" i="37"/>
  <c r="D15" i="36"/>
  <c r="E15" i="36"/>
  <c r="N101" i="38"/>
  <c r="O101" i="38"/>
  <c r="K114" i="37"/>
  <c r="J101" i="38"/>
  <c r="K101" i="38"/>
  <c r="H114" i="37"/>
  <c r="V101" i="38"/>
  <c r="Q114" i="37"/>
  <c r="Z100" i="38"/>
  <c r="W100" i="38"/>
  <c r="AH98" i="38"/>
  <c r="AI98" i="38"/>
  <c r="AE98" i="38"/>
  <c r="C103" i="38"/>
  <c r="B104" i="38"/>
  <c r="L221" i="38"/>
  <c r="I234" i="37"/>
  <c r="R102" i="38"/>
  <c r="S102" i="38"/>
  <c r="N115" i="37"/>
  <c r="F108" i="38"/>
  <c r="G107" i="38"/>
  <c r="AD99" i="38"/>
  <c r="AA99" i="38"/>
  <c r="AJ172" i="38"/>
  <c r="AA185" i="37"/>
  <c r="L222" i="38"/>
  <c r="I235" i="37"/>
  <c r="Q115" i="37"/>
  <c r="V102" i="38"/>
  <c r="F109" i="38"/>
  <c r="G108" i="38"/>
  <c r="W101" i="38"/>
  <c r="Z101" i="38"/>
  <c r="R103" i="38"/>
  <c r="S103" i="38"/>
  <c r="N116" i="37"/>
  <c r="B105" i="38"/>
  <c r="C104" i="38"/>
  <c r="J102" i="38"/>
  <c r="K102" i="38"/>
  <c r="H115" i="37"/>
  <c r="N102" i="38"/>
  <c r="O102" i="38"/>
  <c r="K115" i="37"/>
  <c r="AE99" i="38"/>
  <c r="AH99" i="38"/>
  <c r="AI99" i="38"/>
  <c r="AA100" i="38"/>
  <c r="AD100" i="38"/>
  <c r="AJ173" i="38"/>
  <c r="AA186" i="37"/>
  <c r="N103" i="38"/>
  <c r="O103" i="38"/>
  <c r="K116" i="37"/>
  <c r="J103" i="38"/>
  <c r="K103" i="38"/>
  <c r="H116" i="37"/>
  <c r="R104" i="38"/>
  <c r="S104" i="38"/>
  <c r="N117" i="37"/>
  <c r="L223" i="38"/>
  <c r="I236" i="37"/>
  <c r="AE100" i="38"/>
  <c r="AH100" i="38"/>
  <c r="AI100" i="38"/>
  <c r="AA101" i="38"/>
  <c r="AD101" i="38"/>
  <c r="W102" i="38"/>
  <c r="Z102" i="38"/>
  <c r="B106" i="38"/>
  <c r="C105" i="38"/>
  <c r="V103" i="38"/>
  <c r="Q116" i="37"/>
  <c r="F110" i="38"/>
  <c r="G109" i="38"/>
  <c r="AA187" i="37"/>
  <c r="AJ175" i="38"/>
  <c r="AJ174" i="38"/>
  <c r="AH101" i="38"/>
  <c r="AI101" i="38"/>
  <c r="AE101" i="38"/>
  <c r="L224" i="38"/>
  <c r="I237" i="37"/>
  <c r="L225" i="38"/>
  <c r="J104" i="38"/>
  <c r="K104" i="38"/>
  <c r="H117" i="37"/>
  <c r="F111" i="38"/>
  <c r="G110" i="38"/>
  <c r="C106" i="38"/>
  <c r="B107" i="38"/>
  <c r="N104" i="38"/>
  <c r="O104" i="38"/>
  <c r="K117" i="37"/>
  <c r="V104" i="38"/>
  <c r="Q117" i="37"/>
  <c r="AD102" i="38"/>
  <c r="AA102" i="38"/>
  <c r="R105" i="38"/>
  <c r="S105" i="38"/>
  <c r="N118" i="37"/>
  <c r="Z103" i="38"/>
  <c r="W103" i="38"/>
  <c r="AD103" i="38"/>
  <c r="AA103" i="38"/>
  <c r="AH102" i="38"/>
  <c r="AI102" i="38"/>
  <c r="AE102" i="38"/>
  <c r="G111" i="38"/>
  <c r="F112" i="38"/>
  <c r="R106" i="38"/>
  <c r="S106" i="38"/>
  <c r="N119" i="37"/>
  <c r="V105" i="38"/>
  <c r="Q118" i="37"/>
  <c r="C107" i="38"/>
  <c r="B108" i="38"/>
  <c r="J105" i="38"/>
  <c r="K105" i="38"/>
  <c r="H118" i="37"/>
  <c r="N105" i="38"/>
  <c r="O105" i="38"/>
  <c r="K118" i="37"/>
  <c r="Z104" i="38"/>
  <c r="W104" i="38"/>
  <c r="N106" i="38"/>
  <c r="O106" i="38"/>
  <c r="K119" i="37"/>
  <c r="B109" i="38"/>
  <c r="C108" i="38"/>
  <c r="R107" i="38"/>
  <c r="S107" i="38"/>
  <c r="N120" i="37"/>
  <c r="J106" i="38"/>
  <c r="K106" i="38"/>
  <c r="H119" i="37"/>
  <c r="V106" i="38"/>
  <c r="Q119" i="37"/>
  <c r="G112" i="38"/>
  <c r="F113" i="38"/>
  <c r="AA104" i="38"/>
  <c r="AD104" i="38"/>
  <c r="W105" i="38"/>
  <c r="Z105" i="38"/>
  <c r="AE103" i="38"/>
  <c r="AH103" i="38"/>
  <c r="AI103" i="38"/>
  <c r="AA105" i="38"/>
  <c r="AD105" i="38"/>
  <c r="J107" i="38"/>
  <c r="K107" i="38"/>
  <c r="H120" i="37"/>
  <c r="AE104" i="38"/>
  <c r="AH104" i="38"/>
  <c r="AI104" i="38"/>
  <c r="R108" i="38"/>
  <c r="S108" i="38"/>
  <c r="N121" i="37"/>
  <c r="N107" i="38"/>
  <c r="O107" i="38"/>
  <c r="K120" i="37"/>
  <c r="F114" i="38"/>
  <c r="G113" i="38"/>
  <c r="C109" i="38"/>
  <c r="B110" i="38"/>
  <c r="V107" i="38"/>
  <c r="Q120" i="37"/>
  <c r="W106" i="38"/>
  <c r="Z106" i="38"/>
  <c r="Z107" i="38"/>
  <c r="W107" i="38"/>
  <c r="F115" i="38"/>
  <c r="G114" i="38"/>
  <c r="B111" i="38"/>
  <c r="C110" i="38"/>
  <c r="AH105" i="38"/>
  <c r="AI105" i="38"/>
  <c r="AE105" i="38"/>
  <c r="V108" i="38"/>
  <c r="Q121" i="37"/>
  <c r="R109" i="38"/>
  <c r="S109" i="38"/>
  <c r="N122" i="37"/>
  <c r="J108" i="38"/>
  <c r="K108" i="38"/>
  <c r="H121" i="37"/>
  <c r="AD106" i="38"/>
  <c r="AA106" i="38"/>
  <c r="N108" i="38"/>
  <c r="O108" i="38"/>
  <c r="K121" i="37"/>
  <c r="R110" i="38"/>
  <c r="S110" i="38"/>
  <c r="N123" i="37"/>
  <c r="AH106" i="38"/>
  <c r="AI106" i="38"/>
  <c r="AE106" i="38"/>
  <c r="G115" i="38"/>
  <c r="F116" i="38"/>
  <c r="N109" i="38"/>
  <c r="O109" i="38"/>
  <c r="K122" i="37"/>
  <c r="J109" i="38"/>
  <c r="K109" i="38"/>
  <c r="H122" i="37"/>
  <c r="V109" i="38"/>
  <c r="Q122" i="37"/>
  <c r="Z108" i="38"/>
  <c r="W108" i="38"/>
  <c r="B112" i="38"/>
  <c r="C111" i="38"/>
  <c r="AD107" i="38"/>
  <c r="AA107" i="38"/>
  <c r="V110" i="38"/>
  <c r="Q123" i="37"/>
  <c r="J110" i="38"/>
  <c r="K110" i="38"/>
  <c r="H123" i="37"/>
  <c r="G116" i="38"/>
  <c r="F117" i="38"/>
  <c r="R111" i="38"/>
  <c r="S111" i="38"/>
  <c r="N124" i="37"/>
  <c r="N110" i="38"/>
  <c r="O110" i="38"/>
  <c r="K123" i="37"/>
  <c r="C112" i="38"/>
  <c r="B113" i="38"/>
  <c r="Z109" i="38"/>
  <c r="W109" i="38"/>
  <c r="AE107" i="38"/>
  <c r="AH107" i="38"/>
  <c r="AI107" i="38"/>
  <c r="AA108" i="38"/>
  <c r="AD108" i="38"/>
  <c r="C113" i="38"/>
  <c r="B114" i="38"/>
  <c r="J111" i="38"/>
  <c r="K111" i="38"/>
  <c r="H124" i="37"/>
  <c r="AE108" i="38"/>
  <c r="AH108" i="38"/>
  <c r="AI108" i="38"/>
  <c r="N111" i="38"/>
  <c r="O111" i="38"/>
  <c r="K124" i="37"/>
  <c r="F118" i="38"/>
  <c r="G117" i="38"/>
  <c r="V111" i="38"/>
  <c r="Q124" i="37"/>
  <c r="R112" i="38"/>
  <c r="S112" i="38"/>
  <c r="N125" i="37"/>
  <c r="AD109" i="38"/>
  <c r="AA109" i="38"/>
  <c r="Z110" i="38"/>
  <c r="W110" i="38"/>
  <c r="V112" i="38"/>
  <c r="Q125" i="37"/>
  <c r="N112" i="38"/>
  <c r="O112" i="38"/>
  <c r="K125" i="37"/>
  <c r="J112" i="38"/>
  <c r="K112" i="38"/>
  <c r="H125" i="37"/>
  <c r="AE109" i="38"/>
  <c r="AH109" i="38"/>
  <c r="AI109" i="38"/>
  <c r="W111" i="38"/>
  <c r="Z111" i="38"/>
  <c r="R113" i="38"/>
  <c r="S113" i="38"/>
  <c r="N126" i="37"/>
  <c r="B115" i="38"/>
  <c r="C114" i="38"/>
  <c r="AA110" i="38"/>
  <c r="AD110" i="38"/>
  <c r="F119" i="38"/>
  <c r="G118" i="38"/>
  <c r="AE110" i="38"/>
  <c r="AH110" i="38"/>
  <c r="AI110" i="38"/>
  <c r="V113" i="38"/>
  <c r="Q126" i="37"/>
  <c r="R114" i="38"/>
  <c r="S114" i="38"/>
  <c r="N127" i="37"/>
  <c r="N113" i="38"/>
  <c r="O113" i="38"/>
  <c r="K126" i="37"/>
  <c r="AA111" i="38"/>
  <c r="AD111" i="38"/>
  <c r="J113" i="38"/>
  <c r="K113" i="38"/>
  <c r="H126" i="37"/>
  <c r="G119" i="38"/>
  <c r="F120" i="38"/>
  <c r="B116" i="38"/>
  <c r="C115" i="38"/>
  <c r="W112" i="38"/>
  <c r="Z112" i="38"/>
  <c r="C116" i="38"/>
  <c r="B117" i="38"/>
  <c r="J114" i="38"/>
  <c r="K114" i="38"/>
  <c r="H127" i="37"/>
  <c r="N114" i="38"/>
  <c r="O114" i="38"/>
  <c r="K127" i="37"/>
  <c r="V114" i="38"/>
  <c r="Q127" i="37"/>
  <c r="Z113" i="38"/>
  <c r="W113" i="38"/>
  <c r="AD112" i="38"/>
  <c r="AA112" i="38"/>
  <c r="G120" i="38"/>
  <c r="F121" i="38"/>
  <c r="AH111" i="38"/>
  <c r="AI111" i="38"/>
  <c r="AE111" i="38"/>
  <c r="R115" i="38"/>
  <c r="S115" i="38"/>
  <c r="N128" i="37"/>
  <c r="J115" i="38"/>
  <c r="K115" i="38"/>
  <c r="H128" i="37"/>
  <c r="Z114" i="38"/>
  <c r="W114" i="38"/>
  <c r="R116" i="38"/>
  <c r="S116" i="38"/>
  <c r="N129" i="37"/>
  <c r="F122" i="38"/>
  <c r="G121" i="38"/>
  <c r="N115" i="38"/>
  <c r="O115" i="38"/>
  <c r="K128" i="37"/>
  <c r="C117" i="38"/>
  <c r="B118" i="38"/>
  <c r="V115" i="38"/>
  <c r="Q128" i="37"/>
  <c r="AH112" i="38"/>
  <c r="AI112" i="38"/>
  <c r="AE112" i="38"/>
  <c r="AD113" i="38"/>
  <c r="AA113" i="38"/>
  <c r="AA114" i="38"/>
  <c r="AD114" i="38"/>
  <c r="W115" i="38"/>
  <c r="Z115" i="38"/>
  <c r="N116" i="38"/>
  <c r="O116" i="38"/>
  <c r="K129" i="37"/>
  <c r="B119" i="38"/>
  <c r="C118" i="38"/>
  <c r="J116" i="38"/>
  <c r="K116" i="38"/>
  <c r="H129" i="37"/>
  <c r="AE113" i="38"/>
  <c r="AH113" i="38"/>
  <c r="AI113" i="38"/>
  <c r="V116" i="38"/>
  <c r="Q129" i="37"/>
  <c r="F123" i="38"/>
  <c r="G122" i="38"/>
  <c r="R117" i="38"/>
  <c r="S117" i="38"/>
  <c r="N130" i="37"/>
  <c r="G123" i="38"/>
  <c r="F124" i="38"/>
  <c r="B120" i="38"/>
  <c r="C119" i="38"/>
  <c r="R118" i="38"/>
  <c r="S118" i="38"/>
  <c r="N131" i="37"/>
  <c r="V117" i="38"/>
  <c r="Q130" i="37"/>
  <c r="J117" i="38"/>
  <c r="K117" i="38"/>
  <c r="H130" i="37"/>
  <c r="N117" i="38"/>
  <c r="O117" i="38"/>
  <c r="K130" i="37"/>
  <c r="AE114" i="38"/>
  <c r="AH114" i="38"/>
  <c r="AI114" i="38"/>
  <c r="AA115" i="38"/>
  <c r="AD115" i="38"/>
  <c r="W116" i="38"/>
  <c r="Z116" i="38"/>
  <c r="AH115" i="38"/>
  <c r="AI115" i="38"/>
  <c r="AE115" i="38"/>
  <c r="N118" i="38"/>
  <c r="O118" i="38"/>
  <c r="K131" i="37"/>
  <c r="Z117" i="38"/>
  <c r="W117" i="38"/>
  <c r="AD116" i="38"/>
  <c r="AA116" i="38"/>
  <c r="J118" i="38"/>
  <c r="K118" i="38"/>
  <c r="H131" i="37"/>
  <c r="R119" i="38"/>
  <c r="S119" i="38"/>
  <c r="N132" i="37"/>
  <c r="G124" i="38"/>
  <c r="F125" i="38"/>
  <c r="V118" i="38"/>
  <c r="Q131" i="37"/>
  <c r="C120" i="38"/>
  <c r="B121" i="38"/>
  <c r="V119" i="38"/>
  <c r="Q132" i="37"/>
  <c r="F126" i="38"/>
  <c r="G125" i="38"/>
  <c r="R120" i="38"/>
  <c r="S120" i="38"/>
  <c r="N133" i="37"/>
  <c r="N119" i="38"/>
  <c r="O119" i="38"/>
  <c r="K132" i="37"/>
  <c r="Z118" i="38"/>
  <c r="W118" i="38"/>
  <c r="AH116" i="38"/>
  <c r="AI116" i="38"/>
  <c r="AE116" i="38"/>
  <c r="C121" i="38"/>
  <c r="B122" i="38"/>
  <c r="J119" i="38"/>
  <c r="K119" i="38"/>
  <c r="H132" i="37"/>
  <c r="AD117" i="38"/>
  <c r="AA117" i="38"/>
  <c r="J120" i="38"/>
  <c r="K120" i="38"/>
  <c r="H133" i="37"/>
  <c r="N120" i="38"/>
  <c r="O120" i="38"/>
  <c r="K133" i="37"/>
  <c r="B123" i="38"/>
  <c r="C122" i="38"/>
  <c r="R121" i="38"/>
  <c r="S121" i="38"/>
  <c r="N134" i="37"/>
  <c r="V120" i="38"/>
  <c r="Q133" i="37"/>
  <c r="F127" i="38"/>
  <c r="G126" i="38"/>
  <c r="AE117" i="38"/>
  <c r="AH117" i="38"/>
  <c r="AI117" i="38"/>
  <c r="AA118" i="38"/>
  <c r="AD118" i="38"/>
  <c r="W119" i="38"/>
  <c r="Z119" i="38"/>
  <c r="R122" i="38"/>
  <c r="S122" i="38"/>
  <c r="N135" i="37"/>
  <c r="V121" i="38"/>
  <c r="Q134" i="37"/>
  <c r="J121" i="38"/>
  <c r="K121" i="38"/>
  <c r="H134" i="37"/>
  <c r="AE118" i="38"/>
  <c r="AH118" i="38"/>
  <c r="AI118" i="38"/>
  <c r="N121" i="38"/>
  <c r="O121" i="38"/>
  <c r="K134" i="37"/>
  <c r="G127" i="38"/>
  <c r="F128" i="38"/>
  <c r="AA119" i="38"/>
  <c r="AD119" i="38"/>
  <c r="W120" i="38"/>
  <c r="Z120" i="38"/>
  <c r="B124" i="38"/>
  <c r="C123" i="38"/>
  <c r="AD120" i="38"/>
  <c r="AA120" i="38"/>
  <c r="R123" i="38"/>
  <c r="S123" i="38"/>
  <c r="N136" i="37"/>
  <c r="G128" i="38"/>
  <c r="F129" i="38"/>
  <c r="V122" i="38"/>
  <c r="Q135" i="37"/>
  <c r="Z121" i="38"/>
  <c r="W121" i="38"/>
  <c r="AH119" i="38"/>
  <c r="AI119" i="38"/>
  <c r="AE119" i="38"/>
  <c r="N122" i="38"/>
  <c r="O122" i="38"/>
  <c r="K135" i="37"/>
  <c r="J122" i="38"/>
  <c r="K122" i="38"/>
  <c r="H135" i="37"/>
  <c r="C124" i="38"/>
  <c r="B125" i="38"/>
  <c r="J123" i="38"/>
  <c r="K123" i="38"/>
  <c r="H136" i="37"/>
  <c r="V123" i="38"/>
  <c r="Q136" i="37"/>
  <c r="Z122" i="38"/>
  <c r="W122" i="38"/>
  <c r="R124" i="38"/>
  <c r="S124" i="38"/>
  <c r="N137" i="37"/>
  <c r="C125" i="38"/>
  <c r="B126" i="38"/>
  <c r="N123" i="38"/>
  <c r="O123" i="38"/>
  <c r="K136" i="37"/>
  <c r="F130" i="38"/>
  <c r="G129" i="38"/>
  <c r="AD121" i="38"/>
  <c r="AA121" i="38"/>
  <c r="AH120" i="38"/>
  <c r="AI120" i="38"/>
  <c r="AE120" i="38"/>
  <c r="N124" i="38"/>
  <c r="O124" i="38"/>
  <c r="K137" i="37"/>
  <c r="R125" i="38"/>
  <c r="S125" i="38"/>
  <c r="N138" i="37"/>
  <c r="J124" i="38"/>
  <c r="K124" i="38"/>
  <c r="H137" i="37"/>
  <c r="V124" i="38"/>
  <c r="Q137" i="37"/>
  <c r="AE121" i="38"/>
  <c r="AH121" i="38"/>
  <c r="AI121" i="38"/>
  <c r="W123" i="38"/>
  <c r="Z123" i="38"/>
  <c r="B127" i="38"/>
  <c r="C126" i="38"/>
  <c r="F131" i="38"/>
  <c r="G130" i="38"/>
  <c r="AA122" i="38"/>
  <c r="AD122" i="38"/>
  <c r="V125" i="38"/>
  <c r="Q138" i="37"/>
  <c r="G131" i="38"/>
  <c r="F132" i="38"/>
  <c r="N125" i="38"/>
  <c r="O125" i="38"/>
  <c r="K138" i="37"/>
  <c r="AA123" i="38"/>
  <c r="AD123" i="38"/>
  <c r="R126" i="38"/>
  <c r="S126" i="38"/>
  <c r="N139" i="37"/>
  <c r="W124" i="38"/>
  <c r="Z124" i="38"/>
  <c r="AE122" i="38"/>
  <c r="AH122" i="38"/>
  <c r="AI122" i="38"/>
  <c r="J125" i="38"/>
  <c r="K125" i="38"/>
  <c r="H138" i="37"/>
  <c r="B128" i="38"/>
  <c r="C127" i="38"/>
  <c r="V126" i="38"/>
  <c r="Q139" i="37"/>
  <c r="J126" i="38"/>
  <c r="K126" i="38"/>
  <c r="H139" i="37"/>
  <c r="AD124" i="38"/>
  <c r="AA124" i="38"/>
  <c r="AH123" i="38"/>
  <c r="AI123" i="38"/>
  <c r="AE123" i="38"/>
  <c r="G132" i="38"/>
  <c r="F133" i="38"/>
  <c r="R127" i="38"/>
  <c r="S127" i="38"/>
  <c r="N140" i="37"/>
  <c r="N126" i="38"/>
  <c r="O126" i="38"/>
  <c r="K139" i="37"/>
  <c r="C128" i="38"/>
  <c r="B129" i="38"/>
  <c r="Z125" i="38"/>
  <c r="W125" i="38"/>
  <c r="C129" i="38"/>
  <c r="B130" i="38"/>
  <c r="V127" i="38"/>
  <c r="Q140" i="37"/>
  <c r="R128" i="38"/>
  <c r="S128" i="38"/>
  <c r="N141" i="37"/>
  <c r="J127" i="38"/>
  <c r="K127" i="38"/>
  <c r="H140" i="37"/>
  <c r="N127" i="38"/>
  <c r="O127" i="38"/>
  <c r="K140" i="37"/>
  <c r="F134" i="38"/>
  <c r="G133" i="38"/>
  <c r="AD125" i="38"/>
  <c r="AA125" i="38"/>
  <c r="AH124" i="38"/>
  <c r="AI124" i="38"/>
  <c r="AE124" i="38"/>
  <c r="Z126" i="38"/>
  <c r="W126" i="38"/>
  <c r="V128" i="38"/>
  <c r="Q141" i="37"/>
  <c r="F135" i="38"/>
  <c r="G134" i="38"/>
  <c r="W127" i="38"/>
  <c r="Z127" i="38"/>
  <c r="N128" i="38"/>
  <c r="O128" i="38"/>
  <c r="K141" i="37"/>
  <c r="R129" i="38"/>
  <c r="S129" i="38"/>
  <c r="N142" i="37"/>
  <c r="B131" i="38"/>
  <c r="C130" i="38"/>
  <c r="J128" i="38"/>
  <c r="K128" i="38"/>
  <c r="H141" i="37"/>
  <c r="AA126" i="38"/>
  <c r="AD126" i="38"/>
  <c r="AE125" i="38"/>
  <c r="AH125" i="38"/>
  <c r="AI125" i="38"/>
  <c r="V129" i="38"/>
  <c r="Q142" i="37"/>
  <c r="AE126" i="38"/>
  <c r="AH126" i="38"/>
  <c r="AI126" i="38"/>
  <c r="N129" i="38"/>
  <c r="O129" i="38"/>
  <c r="K142" i="37"/>
  <c r="B132" i="38"/>
  <c r="C131" i="38"/>
  <c r="G135" i="38"/>
  <c r="F136" i="38"/>
  <c r="J129" i="38"/>
  <c r="K129" i="38"/>
  <c r="H142" i="37"/>
  <c r="R130" i="38"/>
  <c r="S130" i="38"/>
  <c r="N143" i="37"/>
  <c r="AA127" i="38"/>
  <c r="AD127" i="38"/>
  <c r="W128" i="38"/>
  <c r="Z128" i="38"/>
  <c r="AH127" i="38"/>
  <c r="AI127" i="38"/>
  <c r="AE127" i="38"/>
  <c r="G136" i="38"/>
  <c r="F137" i="38"/>
  <c r="V130" i="38"/>
  <c r="Q143" i="37"/>
  <c r="J130" i="38"/>
  <c r="K130" i="38"/>
  <c r="H143" i="37"/>
  <c r="C132" i="38"/>
  <c r="B133" i="38"/>
  <c r="AD128" i="38"/>
  <c r="AA128" i="38"/>
  <c r="R131" i="38"/>
  <c r="S131" i="38"/>
  <c r="N144" i="37"/>
  <c r="N130" i="38"/>
  <c r="O130" i="38"/>
  <c r="K143" i="37"/>
  <c r="Z129" i="38"/>
  <c r="W129" i="38"/>
  <c r="N131" i="38"/>
  <c r="O131" i="38"/>
  <c r="K144" i="37"/>
  <c r="AH128" i="38"/>
  <c r="AI128" i="38"/>
  <c r="AE128" i="38"/>
  <c r="R132" i="38"/>
  <c r="S132" i="38"/>
  <c r="N145" i="37"/>
  <c r="C133" i="38"/>
  <c r="B134" i="38"/>
  <c r="V131" i="38"/>
  <c r="Q144" i="37"/>
  <c r="J131" i="38"/>
  <c r="K131" i="38"/>
  <c r="H144" i="37"/>
  <c r="F138" i="38"/>
  <c r="G137" i="38"/>
  <c r="AD129" i="38"/>
  <c r="AA129" i="38"/>
  <c r="Z130" i="38"/>
  <c r="W130" i="38"/>
  <c r="B135" i="38"/>
  <c r="C134" i="38"/>
  <c r="AE129" i="38"/>
  <c r="AH129" i="38"/>
  <c r="AI129" i="38"/>
  <c r="N132" i="38"/>
  <c r="O132" i="38"/>
  <c r="K145" i="37"/>
  <c r="J132" i="38"/>
  <c r="K132" i="38"/>
  <c r="H145" i="37"/>
  <c r="V132" i="38"/>
  <c r="Q145" i="37"/>
  <c r="R133" i="38"/>
  <c r="S133" i="38"/>
  <c r="N146" i="37"/>
  <c r="AA130" i="38"/>
  <c r="AD130" i="38"/>
  <c r="F139" i="38"/>
  <c r="G138" i="38"/>
  <c r="W131" i="38"/>
  <c r="Z131" i="38"/>
  <c r="R134" i="38"/>
  <c r="S134" i="38"/>
  <c r="N147" i="37"/>
  <c r="J133" i="38"/>
  <c r="K133" i="38"/>
  <c r="H146" i="37"/>
  <c r="G139" i="38"/>
  <c r="F140" i="38"/>
  <c r="AA131" i="38"/>
  <c r="AD131" i="38"/>
  <c r="AE130" i="38"/>
  <c r="AH130" i="38"/>
  <c r="AI130" i="38"/>
  <c r="V133" i="38"/>
  <c r="Q146" i="37"/>
  <c r="N133" i="38"/>
  <c r="O133" i="38"/>
  <c r="K146" i="37"/>
  <c r="W132" i="38"/>
  <c r="Z132" i="38"/>
  <c r="B136" i="38"/>
  <c r="C135" i="38"/>
  <c r="AD132" i="38"/>
  <c r="AA132" i="38"/>
  <c r="AH131" i="38"/>
  <c r="AI131" i="38"/>
  <c r="AE131" i="38"/>
  <c r="Z133" i="38"/>
  <c r="W133" i="38"/>
  <c r="R135" i="38"/>
  <c r="S135" i="38"/>
  <c r="N148" i="37"/>
  <c r="V134" i="38"/>
  <c r="Q147" i="37"/>
  <c r="J134" i="38"/>
  <c r="K134" i="38"/>
  <c r="H147" i="37"/>
  <c r="N134" i="38"/>
  <c r="O134" i="38"/>
  <c r="K147" i="37"/>
  <c r="G140" i="38"/>
  <c r="F141" i="38"/>
  <c r="C136" i="38"/>
  <c r="B137" i="38"/>
  <c r="J135" i="38"/>
  <c r="K135" i="38"/>
  <c r="H148" i="37"/>
  <c r="F142" i="38"/>
  <c r="G141" i="38"/>
  <c r="R136" i="38"/>
  <c r="S136" i="38"/>
  <c r="N149" i="37"/>
  <c r="C137" i="38"/>
  <c r="B138" i="38"/>
  <c r="N135" i="38"/>
  <c r="O135" i="38"/>
  <c r="K148" i="37"/>
  <c r="V135" i="38"/>
  <c r="Q148" i="37"/>
  <c r="Z134" i="38"/>
  <c r="W134" i="38"/>
  <c r="AD133" i="38"/>
  <c r="AA133" i="38"/>
  <c r="AH132" i="38"/>
  <c r="AI132" i="38"/>
  <c r="AE132" i="38"/>
  <c r="B139" i="38"/>
  <c r="C138" i="38"/>
  <c r="AE133" i="38"/>
  <c r="AH133" i="38"/>
  <c r="AI133" i="38"/>
  <c r="N136" i="38"/>
  <c r="O136" i="38"/>
  <c r="K149" i="37"/>
  <c r="J136" i="38"/>
  <c r="K136" i="38"/>
  <c r="H149" i="37"/>
  <c r="V136" i="38"/>
  <c r="Q149" i="37"/>
  <c r="W135" i="38"/>
  <c r="Z135" i="38"/>
  <c r="F143" i="38"/>
  <c r="G142" i="38"/>
  <c r="R137" i="38"/>
  <c r="S137" i="38"/>
  <c r="N150" i="37"/>
  <c r="AA134" i="38"/>
  <c r="AD134" i="38"/>
  <c r="J137" i="38"/>
  <c r="K137" i="38"/>
  <c r="H150" i="37"/>
  <c r="AE134" i="38"/>
  <c r="AH134" i="38"/>
  <c r="AI134" i="38"/>
  <c r="V137" i="38"/>
  <c r="Q150" i="37"/>
  <c r="N137" i="38"/>
  <c r="O137" i="38"/>
  <c r="K150" i="37"/>
  <c r="R138" i="38"/>
  <c r="S138" i="38"/>
  <c r="N151" i="37"/>
  <c r="AA135" i="38"/>
  <c r="AD135" i="38"/>
  <c r="G143" i="38"/>
  <c r="F144" i="38"/>
  <c r="W136" i="38"/>
  <c r="Z136" i="38"/>
  <c r="B140" i="38"/>
  <c r="C139" i="38"/>
  <c r="J138" i="38"/>
  <c r="K138" i="38"/>
  <c r="H151" i="37"/>
  <c r="AD136" i="38"/>
  <c r="AA136" i="38"/>
  <c r="AH135" i="38"/>
  <c r="AI135" i="38"/>
  <c r="AE135" i="38"/>
  <c r="N138" i="38"/>
  <c r="O138" i="38"/>
  <c r="K151" i="37"/>
  <c r="G144" i="38"/>
  <c r="F145" i="38"/>
  <c r="R139" i="38"/>
  <c r="S139" i="38"/>
  <c r="N152" i="37"/>
  <c r="V138" i="38"/>
  <c r="Q151" i="37"/>
  <c r="C140" i="38"/>
  <c r="B141" i="38"/>
  <c r="Z137" i="38"/>
  <c r="W137" i="38"/>
  <c r="R140" i="38"/>
  <c r="S140" i="38"/>
  <c r="N153" i="37"/>
  <c r="J139" i="38"/>
  <c r="K139" i="38"/>
  <c r="H152" i="37"/>
  <c r="C141" i="38"/>
  <c r="B142" i="38"/>
  <c r="N139" i="38"/>
  <c r="O139" i="38"/>
  <c r="K152" i="37"/>
  <c r="AH136" i="38"/>
  <c r="AI136" i="38"/>
  <c r="AE136" i="38"/>
  <c r="V139" i="38"/>
  <c r="Q152" i="37"/>
  <c r="F146" i="38"/>
  <c r="G145" i="38"/>
  <c r="AD137" i="38"/>
  <c r="AA137" i="38"/>
  <c r="Z138" i="38"/>
  <c r="W138" i="38"/>
  <c r="V140" i="38"/>
  <c r="Q153" i="37"/>
  <c r="AE137" i="38"/>
  <c r="AH137" i="38"/>
  <c r="AI137" i="38"/>
  <c r="R141" i="38"/>
  <c r="S141" i="38"/>
  <c r="N154" i="37"/>
  <c r="N140" i="38"/>
  <c r="O140" i="38"/>
  <c r="K153" i="37"/>
  <c r="J140" i="38"/>
  <c r="K140" i="38"/>
  <c r="H153" i="37"/>
  <c r="W139" i="38"/>
  <c r="Z139" i="38"/>
  <c r="B143" i="38"/>
  <c r="C142" i="38"/>
  <c r="AA138" i="38"/>
  <c r="AD138" i="38"/>
  <c r="F147" i="38"/>
  <c r="G146" i="38"/>
  <c r="AA139" i="38"/>
  <c r="AD139" i="38"/>
  <c r="J141" i="38"/>
  <c r="K141" i="38"/>
  <c r="H154" i="37"/>
  <c r="R142" i="38"/>
  <c r="S142" i="38"/>
  <c r="N155" i="37"/>
  <c r="V141" i="38"/>
  <c r="Q154" i="37"/>
  <c r="AE138" i="38"/>
  <c r="AH138" i="38"/>
  <c r="AI138" i="38"/>
  <c r="N141" i="38"/>
  <c r="O141" i="38"/>
  <c r="K154" i="37"/>
  <c r="G147" i="38"/>
  <c r="F148" i="38"/>
  <c r="B144" i="38"/>
  <c r="C143" i="38"/>
  <c r="W140" i="38"/>
  <c r="Z140" i="38"/>
  <c r="N142" i="38"/>
  <c r="O142" i="38"/>
  <c r="K155" i="37"/>
  <c r="J142" i="38"/>
  <c r="K142" i="38"/>
  <c r="H155" i="37"/>
  <c r="Z141" i="38"/>
  <c r="W141" i="38"/>
  <c r="AD140" i="38"/>
  <c r="AA140" i="38"/>
  <c r="G148" i="38"/>
  <c r="F149" i="38"/>
  <c r="R143" i="38"/>
  <c r="S143" i="38"/>
  <c r="N156" i="37"/>
  <c r="AH139" i="38"/>
  <c r="AI139" i="38"/>
  <c r="AE139" i="38"/>
  <c r="V142" i="38"/>
  <c r="Q155" i="37"/>
  <c r="C144" i="38"/>
  <c r="B145" i="38"/>
  <c r="R144" i="38"/>
  <c r="S144" i="38"/>
  <c r="N157" i="37"/>
  <c r="Z142" i="38"/>
  <c r="W142" i="38"/>
  <c r="N143" i="38"/>
  <c r="O143" i="38"/>
  <c r="K156" i="37"/>
  <c r="V143" i="38"/>
  <c r="Q156" i="37"/>
  <c r="J143" i="38"/>
  <c r="K143" i="38"/>
  <c r="H156" i="37"/>
  <c r="AH140" i="38"/>
  <c r="AI140" i="38"/>
  <c r="AE140" i="38"/>
  <c r="C145" i="38"/>
  <c r="B146" i="38"/>
  <c r="F150" i="38"/>
  <c r="G149" i="38"/>
  <c r="AD141" i="38"/>
  <c r="AA141" i="38"/>
  <c r="F151" i="38"/>
  <c r="G150" i="38"/>
  <c r="B147" i="38"/>
  <c r="C146" i="38"/>
  <c r="N144" i="38"/>
  <c r="O144" i="38"/>
  <c r="K157" i="37"/>
  <c r="R145" i="38"/>
  <c r="S145" i="38"/>
  <c r="N158" i="37"/>
  <c r="V144" i="38"/>
  <c r="Q157" i="37"/>
  <c r="W143" i="38"/>
  <c r="Z143" i="38"/>
  <c r="AA142" i="38"/>
  <c r="AD142" i="38"/>
  <c r="J144" i="38"/>
  <c r="K144" i="38"/>
  <c r="H157" i="37"/>
  <c r="AE141" i="38"/>
  <c r="AH141" i="38"/>
  <c r="AI141" i="38"/>
  <c r="J145" i="38"/>
  <c r="K145" i="38"/>
  <c r="H158" i="37"/>
  <c r="R146" i="38"/>
  <c r="S146" i="38"/>
  <c r="N159" i="37"/>
  <c r="AE142" i="38"/>
  <c r="AH142" i="38"/>
  <c r="AI142" i="38"/>
  <c r="V145" i="38"/>
  <c r="Q158" i="37"/>
  <c r="N145" i="38"/>
  <c r="O145" i="38"/>
  <c r="K158" i="37"/>
  <c r="AA143" i="38"/>
  <c r="AD143" i="38"/>
  <c r="B148" i="38"/>
  <c r="C147" i="38"/>
  <c r="W144" i="38"/>
  <c r="Z144" i="38"/>
  <c r="G151" i="38"/>
  <c r="F152" i="38"/>
  <c r="AD144" i="38"/>
  <c r="AA144" i="38"/>
  <c r="V146" i="38"/>
  <c r="Q159" i="37"/>
  <c r="J146" i="38"/>
  <c r="K146" i="38"/>
  <c r="H159" i="37"/>
  <c r="AH143" i="38"/>
  <c r="AI143" i="38"/>
  <c r="AE143" i="38"/>
  <c r="R147" i="38"/>
  <c r="S147" i="38"/>
  <c r="N160" i="37"/>
  <c r="Z145" i="38"/>
  <c r="W145" i="38"/>
  <c r="G152" i="38"/>
  <c r="F153" i="38"/>
  <c r="N146" i="38"/>
  <c r="O146" i="38"/>
  <c r="K159" i="37"/>
  <c r="C148" i="38"/>
  <c r="B149" i="38"/>
  <c r="V147" i="38"/>
  <c r="Q160" i="37"/>
  <c r="AD145" i="38"/>
  <c r="AA145" i="38"/>
  <c r="C149" i="38"/>
  <c r="B150" i="38"/>
  <c r="F154" i="38"/>
  <c r="G153" i="38"/>
  <c r="R148" i="38"/>
  <c r="S148" i="38"/>
  <c r="N161" i="37"/>
  <c r="J147" i="38"/>
  <c r="K147" i="38"/>
  <c r="H160" i="37"/>
  <c r="N147" i="38"/>
  <c r="O147" i="38"/>
  <c r="K160" i="37"/>
  <c r="Z146" i="38"/>
  <c r="W146" i="38"/>
  <c r="AH144" i="38"/>
  <c r="AI144" i="38"/>
  <c r="AE144" i="38"/>
  <c r="AA146" i="38"/>
  <c r="AD146" i="38"/>
  <c r="V148" i="38"/>
  <c r="Q161" i="37"/>
  <c r="J148" i="38"/>
  <c r="K148" i="38"/>
  <c r="H161" i="37"/>
  <c r="F155" i="38"/>
  <c r="G154" i="38"/>
  <c r="AE145" i="38"/>
  <c r="AH145" i="38"/>
  <c r="AI145" i="38"/>
  <c r="N148" i="38"/>
  <c r="O148" i="38"/>
  <c r="K161" i="37"/>
  <c r="R149" i="38"/>
  <c r="S149" i="38"/>
  <c r="N162" i="37"/>
  <c r="B151" i="38"/>
  <c r="C150" i="38"/>
  <c r="W147" i="38"/>
  <c r="Z147" i="38"/>
  <c r="N149" i="38"/>
  <c r="O149" i="38"/>
  <c r="K162" i="37"/>
  <c r="B152" i="38"/>
  <c r="C151" i="38"/>
  <c r="W148" i="38"/>
  <c r="Z148" i="38"/>
  <c r="AA147" i="38"/>
  <c r="AD147" i="38"/>
  <c r="R150" i="38"/>
  <c r="S150" i="38"/>
  <c r="N163" i="37"/>
  <c r="J149" i="38"/>
  <c r="K149" i="38"/>
  <c r="H162" i="37"/>
  <c r="AE146" i="38"/>
  <c r="AH146" i="38"/>
  <c r="AI146" i="38"/>
  <c r="V149" i="38"/>
  <c r="Q162" i="37"/>
  <c r="F156" i="38"/>
  <c r="G155" i="38"/>
  <c r="V150" i="38"/>
  <c r="Q163" i="37"/>
  <c r="N150" i="38"/>
  <c r="O150" i="38"/>
  <c r="K163" i="37"/>
  <c r="J150" i="38"/>
  <c r="K150" i="38"/>
  <c r="H163" i="37"/>
  <c r="AH147" i="38"/>
  <c r="AI147" i="38"/>
  <c r="AE147" i="38"/>
  <c r="Z149" i="38"/>
  <c r="W149" i="38"/>
  <c r="C152" i="38"/>
  <c r="B153" i="38"/>
  <c r="R151" i="38"/>
  <c r="S151" i="38"/>
  <c r="N164" i="37"/>
  <c r="AD148" i="38"/>
  <c r="AA148" i="38"/>
  <c r="F157" i="38"/>
  <c r="G156" i="38"/>
  <c r="C153" i="38"/>
  <c r="B154" i="38"/>
  <c r="AH148" i="38"/>
  <c r="AI148" i="38"/>
  <c r="AE148" i="38"/>
  <c r="R152" i="38"/>
  <c r="S152" i="38"/>
  <c r="N165" i="37"/>
  <c r="J151" i="38"/>
  <c r="K151" i="38"/>
  <c r="H164" i="37"/>
  <c r="V151" i="38"/>
  <c r="Q164" i="37"/>
  <c r="N151" i="38"/>
  <c r="O151" i="38"/>
  <c r="K164" i="37"/>
  <c r="F158" i="38"/>
  <c r="G157" i="38"/>
  <c r="AD149" i="38"/>
  <c r="AA149" i="38"/>
  <c r="Z150" i="38"/>
  <c r="W150" i="38"/>
  <c r="AE149" i="38"/>
  <c r="AH149" i="38"/>
  <c r="AI149" i="38"/>
  <c r="B155" i="38"/>
  <c r="C154" i="38"/>
  <c r="N152" i="38"/>
  <c r="O152" i="38"/>
  <c r="K165" i="37"/>
  <c r="J152" i="38"/>
  <c r="K152" i="38"/>
  <c r="H165" i="37"/>
  <c r="V152" i="38"/>
  <c r="Q165" i="37"/>
  <c r="R153" i="38"/>
  <c r="S153" i="38"/>
  <c r="N166" i="37"/>
  <c r="AA150" i="38"/>
  <c r="AD150" i="38"/>
  <c r="G158" i="38"/>
  <c r="F159" i="38"/>
  <c r="W151" i="38"/>
  <c r="Z151" i="38"/>
  <c r="B156" i="38"/>
  <c r="C155" i="38"/>
  <c r="AA151" i="38"/>
  <c r="AD151" i="38"/>
  <c r="AE150" i="38"/>
  <c r="AH150" i="38"/>
  <c r="AI150" i="38"/>
  <c r="V153" i="38"/>
  <c r="Q166" i="37"/>
  <c r="N153" i="38"/>
  <c r="O153" i="38"/>
  <c r="K166" i="37"/>
  <c r="W152" i="38"/>
  <c r="Z152" i="38"/>
  <c r="F160" i="38"/>
  <c r="G159" i="38"/>
  <c r="R154" i="38"/>
  <c r="S154" i="38"/>
  <c r="N167" i="37"/>
  <c r="J153" i="38"/>
  <c r="K153" i="38"/>
  <c r="H166" i="37"/>
  <c r="R155" i="38"/>
  <c r="S155" i="38"/>
  <c r="N168" i="37"/>
  <c r="AD152" i="38"/>
  <c r="AA152" i="38"/>
  <c r="V154" i="38"/>
  <c r="Q167" i="37"/>
  <c r="AH151" i="38"/>
  <c r="AI151" i="38"/>
  <c r="AE151" i="38"/>
  <c r="Z153" i="38"/>
  <c r="W153" i="38"/>
  <c r="J154" i="38"/>
  <c r="K154" i="38"/>
  <c r="H167" i="37"/>
  <c r="N154" i="38"/>
  <c r="O154" i="38"/>
  <c r="K167" i="37"/>
  <c r="F161" i="38"/>
  <c r="G160" i="38"/>
  <c r="B157" i="38"/>
  <c r="C156" i="38"/>
  <c r="G161" i="38"/>
  <c r="F162" i="38"/>
  <c r="AH152" i="38"/>
  <c r="AI152" i="38"/>
  <c r="AE152" i="38"/>
  <c r="N155" i="38"/>
  <c r="O155" i="38"/>
  <c r="K168" i="37"/>
  <c r="V155" i="38"/>
  <c r="Q168" i="37"/>
  <c r="R156" i="38"/>
  <c r="S156" i="38"/>
  <c r="N169" i="37"/>
  <c r="B158" i="38"/>
  <c r="C157" i="38"/>
  <c r="AD153" i="38"/>
  <c r="AA153" i="38"/>
  <c r="Z154" i="38"/>
  <c r="W154" i="38"/>
  <c r="J155" i="38"/>
  <c r="K155" i="38"/>
  <c r="H168" i="37"/>
  <c r="V156" i="38"/>
  <c r="Q169" i="37"/>
  <c r="AA154" i="38"/>
  <c r="AD154" i="38"/>
  <c r="B159" i="38"/>
  <c r="C158" i="38"/>
  <c r="W155" i="38"/>
  <c r="Z155" i="38"/>
  <c r="J156" i="38"/>
  <c r="K156" i="38"/>
  <c r="H169" i="37"/>
  <c r="R157" i="38"/>
  <c r="S157" i="38"/>
  <c r="N170" i="37"/>
  <c r="N156" i="38"/>
  <c r="O156" i="38"/>
  <c r="K169" i="37"/>
  <c r="G162" i="38"/>
  <c r="F163" i="38"/>
  <c r="AE153" i="38"/>
  <c r="AH153" i="38"/>
  <c r="AI153" i="38"/>
  <c r="N157" i="38"/>
  <c r="O157" i="38"/>
  <c r="K170" i="37"/>
  <c r="J157" i="38"/>
  <c r="K157" i="38"/>
  <c r="H170" i="37"/>
  <c r="V157" i="38"/>
  <c r="Q170" i="37"/>
  <c r="C159" i="38"/>
  <c r="B160" i="38"/>
  <c r="Z156" i="38"/>
  <c r="W156" i="38"/>
  <c r="F164" i="38"/>
  <c r="G163" i="38"/>
  <c r="R158" i="38"/>
  <c r="S158" i="38"/>
  <c r="N171" i="37"/>
  <c r="AA155" i="38"/>
  <c r="AD155" i="38"/>
  <c r="AE154" i="38"/>
  <c r="AH154" i="38"/>
  <c r="AI154" i="38"/>
  <c r="R159" i="38"/>
  <c r="S159" i="38"/>
  <c r="N172" i="37"/>
  <c r="V158" i="38"/>
  <c r="Q171" i="37"/>
  <c r="N158" i="38"/>
  <c r="O158" i="38"/>
  <c r="K171" i="37"/>
  <c r="AD156" i="38"/>
  <c r="AA156" i="38"/>
  <c r="W157" i="38"/>
  <c r="Z157" i="38"/>
  <c r="AH155" i="38"/>
  <c r="AI155" i="38"/>
  <c r="AE155" i="38"/>
  <c r="B161" i="38"/>
  <c r="C160" i="38"/>
  <c r="J158" i="38"/>
  <c r="K158" i="38"/>
  <c r="H171" i="37"/>
  <c r="F165" i="38"/>
  <c r="G164" i="38"/>
  <c r="AE156" i="38"/>
  <c r="AH156" i="38"/>
  <c r="AI156" i="38"/>
  <c r="W158" i="38"/>
  <c r="Z158" i="38"/>
  <c r="AA157" i="38"/>
  <c r="AD157" i="38"/>
  <c r="N159" i="38"/>
  <c r="O159" i="38"/>
  <c r="K172" i="37"/>
  <c r="R160" i="38"/>
  <c r="S160" i="38"/>
  <c r="N173" i="37"/>
  <c r="G165" i="38"/>
  <c r="F166" i="38"/>
  <c r="B162" i="38"/>
  <c r="C161" i="38"/>
  <c r="J159" i="38"/>
  <c r="K159" i="38"/>
  <c r="H172" i="37"/>
  <c r="V159" i="38"/>
  <c r="Q172" i="37"/>
  <c r="V160" i="38"/>
  <c r="Q173" i="37"/>
  <c r="R161" i="38"/>
  <c r="S161" i="38"/>
  <c r="N174" i="37"/>
  <c r="AH157" i="38"/>
  <c r="AI157" i="38"/>
  <c r="AE157" i="38"/>
  <c r="C162" i="38"/>
  <c r="B163" i="38"/>
  <c r="J160" i="38"/>
  <c r="K160" i="38"/>
  <c r="H173" i="37"/>
  <c r="G166" i="38"/>
  <c r="F167" i="38"/>
  <c r="N160" i="38"/>
  <c r="O160" i="38"/>
  <c r="K173" i="37"/>
  <c r="AD158" i="38"/>
  <c r="AA158" i="38"/>
  <c r="Z159" i="38"/>
  <c r="W159" i="38"/>
  <c r="R162" i="38"/>
  <c r="S162" i="38"/>
  <c r="N175" i="37"/>
  <c r="F168" i="38"/>
  <c r="G167" i="38"/>
  <c r="C163" i="38"/>
  <c r="B164" i="38"/>
  <c r="AH158" i="38"/>
  <c r="AI158" i="38"/>
  <c r="AE158" i="38"/>
  <c r="N161" i="38"/>
  <c r="O161" i="38"/>
  <c r="K174" i="37"/>
  <c r="J161" i="38"/>
  <c r="K161" i="38"/>
  <c r="H174" i="37"/>
  <c r="V161" i="38"/>
  <c r="Q174" i="37"/>
  <c r="AD159" i="38"/>
  <c r="AA159" i="38"/>
  <c r="Z160" i="38"/>
  <c r="W160" i="38"/>
  <c r="J162" i="38"/>
  <c r="K162" i="38"/>
  <c r="H175" i="37"/>
  <c r="AE159" i="38"/>
  <c r="AH159" i="38"/>
  <c r="AI159" i="38"/>
  <c r="F169" i="38"/>
  <c r="G168" i="38"/>
  <c r="V162" i="38"/>
  <c r="Q175" i="37"/>
  <c r="N162" i="38"/>
  <c r="O162" i="38"/>
  <c r="K175" i="37"/>
  <c r="B165" i="38"/>
  <c r="C164" i="38"/>
  <c r="R163" i="38"/>
  <c r="S163" i="38"/>
  <c r="N176" i="37"/>
  <c r="AA160" i="38"/>
  <c r="AD160" i="38"/>
  <c r="W161" i="38"/>
  <c r="Z161" i="38"/>
  <c r="AE160" i="38"/>
  <c r="AH160" i="38"/>
  <c r="AI160" i="38"/>
  <c r="V163" i="38"/>
  <c r="Q176" i="37"/>
  <c r="B166" i="38"/>
  <c r="C165" i="38"/>
  <c r="W162" i="38"/>
  <c r="Z162" i="38"/>
  <c r="AA161" i="38"/>
  <c r="AD161" i="38"/>
  <c r="R164" i="38"/>
  <c r="S164" i="38"/>
  <c r="N177" i="37"/>
  <c r="N163" i="38"/>
  <c r="O163" i="38"/>
  <c r="K176" i="37"/>
  <c r="J163" i="38"/>
  <c r="K163" i="38"/>
  <c r="H176" i="37"/>
  <c r="F170" i="38"/>
  <c r="G169" i="38"/>
  <c r="R165" i="38"/>
  <c r="S165" i="38"/>
  <c r="N178" i="37"/>
  <c r="J164" i="38"/>
  <c r="K164" i="38"/>
  <c r="H177" i="37"/>
  <c r="AD162" i="38"/>
  <c r="AA162" i="38"/>
  <c r="V164" i="38"/>
  <c r="Q177" i="37"/>
  <c r="Z163" i="38"/>
  <c r="W163" i="38"/>
  <c r="N164" i="38"/>
  <c r="O164" i="38"/>
  <c r="K177" i="37"/>
  <c r="AH161" i="38"/>
  <c r="AI161" i="38"/>
  <c r="AE161" i="38"/>
  <c r="F171" i="38"/>
  <c r="G170" i="38"/>
  <c r="C166" i="38"/>
  <c r="B167" i="38"/>
  <c r="N165" i="38"/>
  <c r="O165" i="38"/>
  <c r="K178" i="37"/>
  <c r="V165" i="38"/>
  <c r="Q178" i="37"/>
  <c r="J165" i="38"/>
  <c r="K165" i="38"/>
  <c r="H178" i="37"/>
  <c r="F172" i="38"/>
  <c r="G171" i="38"/>
  <c r="Z164" i="38"/>
  <c r="W164" i="38"/>
  <c r="C167" i="38"/>
  <c r="B168" i="38"/>
  <c r="R166" i="38"/>
  <c r="S166" i="38"/>
  <c r="N179" i="37"/>
  <c r="AD163" i="38"/>
  <c r="AA163" i="38"/>
  <c r="AH162" i="38"/>
  <c r="AI162" i="38"/>
  <c r="AE162" i="38"/>
  <c r="B169" i="38"/>
  <c r="C168" i="38"/>
  <c r="V166" i="38"/>
  <c r="Q179" i="37"/>
  <c r="AE163" i="38"/>
  <c r="AH163" i="38"/>
  <c r="AI163" i="38"/>
  <c r="G172" i="38"/>
  <c r="F173" i="38"/>
  <c r="W165" i="38"/>
  <c r="Z165" i="38"/>
  <c r="R167" i="38"/>
  <c r="S167" i="38"/>
  <c r="N180" i="37"/>
  <c r="J166" i="38"/>
  <c r="K166" i="38"/>
  <c r="H179" i="37"/>
  <c r="N166" i="38"/>
  <c r="O166" i="38"/>
  <c r="K179" i="37"/>
  <c r="AA164" i="38"/>
  <c r="AD164" i="38"/>
  <c r="R168" i="38"/>
  <c r="S168" i="38"/>
  <c r="N181" i="37"/>
  <c r="N167" i="38"/>
  <c r="O167" i="38"/>
  <c r="K180" i="37"/>
  <c r="F174" i="38"/>
  <c r="G173" i="38"/>
  <c r="V167" i="38"/>
  <c r="Q180" i="37"/>
  <c r="W166" i="38"/>
  <c r="Z166" i="38"/>
  <c r="AE164" i="38"/>
  <c r="AH164" i="38"/>
  <c r="AI164" i="38"/>
  <c r="J167" i="38"/>
  <c r="K167" i="38"/>
  <c r="H180" i="37"/>
  <c r="AA165" i="38"/>
  <c r="AD165" i="38"/>
  <c r="B170" i="38"/>
  <c r="C169" i="38"/>
  <c r="AH165" i="38"/>
  <c r="AI165" i="38"/>
  <c r="AE165" i="38"/>
  <c r="V168" i="38"/>
  <c r="Q181" i="37"/>
  <c r="N168" i="38"/>
  <c r="O168" i="38"/>
  <c r="K181" i="37"/>
  <c r="Z167" i="38"/>
  <c r="W167" i="38"/>
  <c r="J168" i="38"/>
  <c r="K168" i="38"/>
  <c r="H181" i="37"/>
  <c r="AD166" i="38"/>
  <c r="AA166" i="38"/>
  <c r="R169" i="38"/>
  <c r="S169" i="38"/>
  <c r="N182" i="37"/>
  <c r="B171" i="38"/>
  <c r="C170" i="38"/>
  <c r="F175" i="38"/>
  <c r="G174" i="38"/>
  <c r="V169" i="38"/>
  <c r="Q182" i="37"/>
  <c r="B172" i="38"/>
  <c r="C171" i="38"/>
  <c r="AH166" i="38"/>
  <c r="AI166" i="38"/>
  <c r="AE166" i="38"/>
  <c r="AD167" i="38"/>
  <c r="AA167" i="38"/>
  <c r="Z168" i="38"/>
  <c r="W168" i="38"/>
  <c r="R170" i="38"/>
  <c r="S170" i="38"/>
  <c r="N183" i="37"/>
  <c r="J169" i="38"/>
  <c r="K169" i="38"/>
  <c r="H182" i="37"/>
  <c r="N169" i="38"/>
  <c r="O169" i="38"/>
  <c r="K182" i="37"/>
  <c r="F176" i="38"/>
  <c r="G175" i="38"/>
  <c r="N170" i="38"/>
  <c r="O170" i="38"/>
  <c r="K183" i="37"/>
  <c r="R171" i="38"/>
  <c r="S171" i="38"/>
  <c r="N184" i="37"/>
  <c r="AE167" i="38"/>
  <c r="AH167" i="38"/>
  <c r="AI167" i="38"/>
  <c r="B173" i="38"/>
  <c r="C172" i="38"/>
  <c r="J170" i="38"/>
  <c r="K170" i="38"/>
  <c r="H183" i="37"/>
  <c r="V170" i="38"/>
  <c r="Q183" i="37"/>
  <c r="G176" i="38"/>
  <c r="F177" i="38"/>
  <c r="AA168" i="38"/>
  <c r="AD168" i="38"/>
  <c r="W169" i="38"/>
  <c r="Z169" i="38"/>
  <c r="Z170" i="38"/>
  <c r="W170" i="38"/>
  <c r="AE168" i="38"/>
  <c r="AH168" i="38"/>
  <c r="AI168" i="38"/>
  <c r="V171" i="38"/>
  <c r="Q184" i="37"/>
  <c r="R172" i="38"/>
  <c r="S172" i="38"/>
  <c r="N185" i="37"/>
  <c r="C173" i="38"/>
  <c r="B174" i="38"/>
  <c r="AA169" i="38"/>
  <c r="AD169" i="38"/>
  <c r="G177" i="38"/>
  <c r="F178" i="38"/>
  <c r="J171" i="38"/>
  <c r="K171" i="38"/>
  <c r="H184" i="37"/>
  <c r="N171" i="38"/>
  <c r="O171" i="38"/>
  <c r="K184" i="37"/>
  <c r="J172" i="38"/>
  <c r="K172" i="38"/>
  <c r="H185" i="37"/>
  <c r="AH169" i="38"/>
  <c r="AI169" i="38"/>
  <c r="AE169" i="38"/>
  <c r="R173" i="38"/>
  <c r="S173" i="38"/>
  <c r="N186" i="37"/>
  <c r="N172" i="38"/>
  <c r="O172" i="38"/>
  <c r="K185" i="37"/>
  <c r="F179" i="38"/>
  <c r="G178" i="38"/>
  <c r="B175" i="38"/>
  <c r="C174" i="38"/>
  <c r="V172" i="38"/>
  <c r="Q185" i="37"/>
  <c r="W171" i="38"/>
  <c r="Z171" i="38"/>
  <c r="AD170" i="38"/>
  <c r="AA170" i="38"/>
  <c r="AA171" i="38"/>
  <c r="AD171" i="38"/>
  <c r="N173" i="38"/>
  <c r="O173" i="38"/>
  <c r="K186" i="37"/>
  <c r="B176" i="38"/>
  <c r="C175" i="38"/>
  <c r="V173" i="38"/>
  <c r="Q186" i="37"/>
  <c r="R174" i="38"/>
  <c r="S174" i="38"/>
  <c r="N187" i="37"/>
  <c r="J173" i="38"/>
  <c r="K173" i="38"/>
  <c r="H186" i="37"/>
  <c r="AE170" i="38"/>
  <c r="AH170" i="38"/>
  <c r="AI170" i="38"/>
  <c r="W172" i="38"/>
  <c r="Z172" i="38"/>
  <c r="F180" i="38"/>
  <c r="G179" i="38"/>
  <c r="AA172" i="38"/>
  <c r="AD172" i="38"/>
  <c r="J174" i="38"/>
  <c r="K174" i="38"/>
  <c r="H187" i="37"/>
  <c r="V174" i="38"/>
  <c r="Q187" i="37"/>
  <c r="N174" i="38"/>
  <c r="O174" i="38"/>
  <c r="K187" i="37"/>
  <c r="W173" i="38"/>
  <c r="Z173" i="38"/>
  <c r="R175" i="38"/>
  <c r="S175" i="38"/>
  <c r="N188" i="37"/>
  <c r="AH171" i="38"/>
  <c r="AI171" i="38"/>
  <c r="AE171" i="38"/>
  <c r="G180" i="38"/>
  <c r="F181" i="38"/>
  <c r="C176" i="38"/>
  <c r="B177" i="38"/>
  <c r="R176" i="38"/>
  <c r="S176" i="38"/>
  <c r="N189" i="37"/>
  <c r="G181" i="38"/>
  <c r="F182" i="38"/>
  <c r="N175" i="38"/>
  <c r="O175" i="38"/>
  <c r="K188" i="37"/>
  <c r="J175" i="38"/>
  <c r="K175" i="38"/>
  <c r="H188" i="37"/>
  <c r="C177" i="38"/>
  <c r="B178" i="38"/>
  <c r="AD173" i="38"/>
  <c r="AA173" i="38"/>
  <c r="V175" i="38"/>
  <c r="Q188" i="37"/>
  <c r="AH172" i="38"/>
  <c r="AI172" i="38"/>
  <c r="AE172" i="38"/>
  <c r="Z174" i="38"/>
  <c r="W174" i="38"/>
  <c r="F183" i="38"/>
  <c r="G182" i="38"/>
  <c r="J176" i="38"/>
  <c r="K176" i="38"/>
  <c r="H189" i="37"/>
  <c r="AH173" i="38"/>
  <c r="AI173" i="38"/>
  <c r="AE173" i="38"/>
  <c r="V176" i="38"/>
  <c r="Q189" i="37"/>
  <c r="C178" i="38"/>
  <c r="B179" i="38"/>
  <c r="N176" i="38"/>
  <c r="O176" i="38"/>
  <c r="K189" i="37"/>
  <c r="R177" i="38"/>
  <c r="S177" i="38"/>
  <c r="N190" i="37"/>
  <c r="AA174" i="38"/>
  <c r="AD174" i="38"/>
  <c r="W175" i="38"/>
  <c r="Z175" i="38"/>
  <c r="V177" i="38"/>
  <c r="Q190" i="37"/>
  <c r="AE174" i="38"/>
  <c r="AH174" i="38"/>
  <c r="AI174" i="38"/>
  <c r="N177" i="38"/>
  <c r="O177" i="38"/>
  <c r="K190" i="37"/>
  <c r="J177" i="38"/>
  <c r="K177" i="38"/>
  <c r="H190" i="37"/>
  <c r="W176" i="38"/>
  <c r="Z176" i="38"/>
  <c r="AA175" i="38"/>
  <c r="AD175" i="38"/>
  <c r="R178" i="38"/>
  <c r="S178" i="38"/>
  <c r="N191" i="37"/>
  <c r="B180" i="38"/>
  <c r="C179" i="38"/>
  <c r="F184" i="38"/>
  <c r="G183" i="38"/>
  <c r="AE175" i="38"/>
  <c r="AH175" i="38"/>
  <c r="AI175" i="38"/>
  <c r="J178" i="38"/>
  <c r="K178" i="38"/>
  <c r="H191" i="37"/>
  <c r="B181" i="38"/>
  <c r="C180" i="38"/>
  <c r="R179" i="38"/>
  <c r="S179" i="38"/>
  <c r="N192" i="37"/>
  <c r="AA176" i="38"/>
  <c r="AD176" i="38"/>
  <c r="N178" i="38"/>
  <c r="O178" i="38"/>
  <c r="K191" i="37"/>
  <c r="V178" i="38"/>
  <c r="Q191" i="37"/>
  <c r="G184" i="38"/>
  <c r="F185" i="38"/>
  <c r="Z177" i="38"/>
  <c r="W177" i="38"/>
  <c r="R180" i="38"/>
  <c r="S180" i="38"/>
  <c r="N193" i="37"/>
  <c r="G185" i="38"/>
  <c r="F186" i="38"/>
  <c r="N179" i="38"/>
  <c r="O179" i="38"/>
  <c r="K192" i="37"/>
  <c r="J179" i="38"/>
  <c r="K179" i="38"/>
  <c r="H192" i="37"/>
  <c r="V179" i="38"/>
  <c r="Q192" i="37"/>
  <c r="AH176" i="38"/>
  <c r="AI176" i="38"/>
  <c r="AE176" i="38"/>
  <c r="AD177" i="38"/>
  <c r="AA177" i="38"/>
  <c r="Z178" i="38"/>
  <c r="W178" i="38"/>
  <c r="C181" i="38"/>
  <c r="B182" i="38"/>
  <c r="J180" i="38"/>
  <c r="K180" i="38"/>
  <c r="H193" i="37"/>
  <c r="F187" i="38"/>
  <c r="G186" i="38"/>
  <c r="AD178" i="38"/>
  <c r="AA178" i="38"/>
  <c r="C182" i="38"/>
  <c r="B183" i="38"/>
  <c r="V180" i="38"/>
  <c r="Q193" i="37"/>
  <c r="N180" i="38"/>
  <c r="O180" i="38"/>
  <c r="K193" i="37"/>
  <c r="R181" i="38"/>
  <c r="S181" i="38"/>
  <c r="N194" i="37"/>
  <c r="AH177" i="38"/>
  <c r="AI177" i="38"/>
  <c r="AE177" i="38"/>
  <c r="Z179" i="38"/>
  <c r="W179" i="38"/>
  <c r="N181" i="38"/>
  <c r="O181" i="38"/>
  <c r="K194" i="37"/>
  <c r="B184" i="38"/>
  <c r="C183" i="38"/>
  <c r="F188" i="38"/>
  <c r="G187" i="38"/>
  <c r="R182" i="38"/>
  <c r="S182" i="38"/>
  <c r="N195" i="37"/>
  <c r="V181" i="38"/>
  <c r="Q194" i="37"/>
  <c r="J181" i="38"/>
  <c r="K181" i="38"/>
  <c r="H194" i="37"/>
  <c r="AA179" i="38"/>
  <c r="AD179" i="38"/>
  <c r="W180" i="38"/>
  <c r="Z180" i="38"/>
  <c r="AE178" i="38"/>
  <c r="AH178" i="38"/>
  <c r="AI178" i="38"/>
  <c r="AA180" i="38"/>
  <c r="AD180" i="38"/>
  <c r="J182" i="38"/>
  <c r="K182" i="38"/>
  <c r="H195" i="37"/>
  <c r="R183" i="38"/>
  <c r="S183" i="38"/>
  <c r="N196" i="37"/>
  <c r="B185" i="38"/>
  <c r="C184" i="38"/>
  <c r="AE179" i="38"/>
  <c r="AH179" i="38"/>
  <c r="AI179" i="38"/>
  <c r="V182" i="38"/>
  <c r="Q195" i="37"/>
  <c r="N182" i="38"/>
  <c r="O182" i="38"/>
  <c r="K195" i="37"/>
  <c r="W181" i="38"/>
  <c r="Z181" i="38"/>
  <c r="F189" i="38"/>
  <c r="G188" i="38"/>
  <c r="AD181" i="38"/>
  <c r="AA181" i="38"/>
  <c r="V183" i="38"/>
  <c r="Q196" i="37"/>
  <c r="J183" i="38"/>
  <c r="K183" i="38"/>
  <c r="H196" i="37"/>
  <c r="Z182" i="38"/>
  <c r="W182" i="38"/>
  <c r="C185" i="38"/>
  <c r="B186" i="38"/>
  <c r="N183" i="38"/>
  <c r="O183" i="38"/>
  <c r="K196" i="37"/>
  <c r="R184" i="38"/>
  <c r="S184" i="38"/>
  <c r="N197" i="37"/>
  <c r="AH180" i="38"/>
  <c r="AI180" i="38"/>
  <c r="AE180" i="38"/>
  <c r="F190" i="38"/>
  <c r="G189" i="38"/>
  <c r="N184" i="38"/>
  <c r="O184" i="38"/>
  <c r="K197" i="37"/>
  <c r="V184" i="38"/>
  <c r="Q197" i="37"/>
  <c r="AD182" i="38"/>
  <c r="AA182" i="38"/>
  <c r="Z183" i="38"/>
  <c r="W183" i="38"/>
  <c r="R185" i="38"/>
  <c r="S185" i="38"/>
  <c r="N198" i="37"/>
  <c r="C186" i="38"/>
  <c r="B187" i="38"/>
  <c r="J184" i="38"/>
  <c r="K184" i="38"/>
  <c r="H197" i="37"/>
  <c r="G190" i="38"/>
  <c r="F191" i="38"/>
  <c r="AH181" i="38"/>
  <c r="AI181" i="38"/>
  <c r="AE181" i="38"/>
  <c r="V185" i="38"/>
  <c r="Q198" i="37"/>
  <c r="G191" i="38"/>
  <c r="F192" i="38"/>
  <c r="B188" i="38"/>
  <c r="C187" i="38"/>
  <c r="AA183" i="38"/>
  <c r="AD183" i="38"/>
  <c r="W184" i="38"/>
  <c r="Z184" i="38"/>
  <c r="J185" i="38"/>
  <c r="K185" i="38"/>
  <c r="H198" i="37"/>
  <c r="R186" i="38"/>
  <c r="S186" i="38"/>
  <c r="N199" i="37"/>
  <c r="N185" i="38"/>
  <c r="O185" i="38"/>
  <c r="K198" i="37"/>
  <c r="AE182" i="38"/>
  <c r="AH182" i="38"/>
  <c r="AI182" i="38"/>
  <c r="N186" i="38"/>
  <c r="O186" i="38"/>
  <c r="K199" i="37"/>
  <c r="J186" i="38"/>
  <c r="K186" i="38"/>
  <c r="H199" i="37"/>
  <c r="AE183" i="38"/>
  <c r="AH183" i="38"/>
  <c r="AI183" i="38"/>
  <c r="F193" i="38"/>
  <c r="G192" i="38"/>
  <c r="R187" i="38"/>
  <c r="S187" i="38"/>
  <c r="N200" i="37"/>
  <c r="AA184" i="38"/>
  <c r="AD184" i="38"/>
  <c r="V186" i="38"/>
  <c r="Q199" i="37"/>
  <c r="C188" i="38"/>
  <c r="B189" i="38"/>
  <c r="W185" i="38"/>
  <c r="Z185" i="38"/>
  <c r="B190" i="38"/>
  <c r="C189" i="38"/>
  <c r="AH184" i="38"/>
  <c r="AI184" i="38"/>
  <c r="AE184" i="38"/>
  <c r="J187" i="38"/>
  <c r="K187" i="38"/>
  <c r="H200" i="37"/>
  <c r="G193" i="38"/>
  <c r="F194" i="38"/>
  <c r="AD185" i="38"/>
  <c r="AA185" i="38"/>
  <c r="V187" i="38"/>
  <c r="Q200" i="37"/>
  <c r="R188" i="38"/>
  <c r="S188" i="38"/>
  <c r="N201" i="37"/>
  <c r="N187" i="38"/>
  <c r="O187" i="38"/>
  <c r="K200" i="37"/>
  <c r="Z186" i="38"/>
  <c r="W186" i="38"/>
  <c r="N188" i="38"/>
  <c r="O188" i="38"/>
  <c r="K201" i="37"/>
  <c r="V188" i="38"/>
  <c r="Q201" i="37"/>
  <c r="F195" i="38"/>
  <c r="G194" i="38"/>
  <c r="Z187" i="38"/>
  <c r="W187" i="38"/>
  <c r="R189" i="38"/>
  <c r="S189" i="38"/>
  <c r="N202" i="37"/>
  <c r="J188" i="38"/>
  <c r="K188" i="38"/>
  <c r="H201" i="37"/>
  <c r="AD186" i="38"/>
  <c r="AA186" i="38"/>
  <c r="AH185" i="38"/>
  <c r="AI185" i="38"/>
  <c r="AE185" i="38"/>
  <c r="B191" i="38"/>
  <c r="C190" i="38"/>
  <c r="AA187" i="38"/>
  <c r="AD187" i="38"/>
  <c r="W188" i="38"/>
  <c r="Z188" i="38"/>
  <c r="R190" i="38"/>
  <c r="S190" i="38"/>
  <c r="N203" i="37"/>
  <c r="N189" i="38"/>
  <c r="O189" i="38"/>
  <c r="K202" i="37"/>
  <c r="C191" i="38"/>
  <c r="B192" i="38"/>
  <c r="AE186" i="38"/>
  <c r="AH186" i="38"/>
  <c r="AI186" i="38"/>
  <c r="F196" i="38"/>
  <c r="G195" i="38"/>
  <c r="J189" i="38"/>
  <c r="K189" i="38"/>
  <c r="H202" i="37"/>
  <c r="V189" i="38"/>
  <c r="Q202" i="37"/>
  <c r="J190" i="38"/>
  <c r="K190" i="38"/>
  <c r="H203" i="37"/>
  <c r="N190" i="38"/>
  <c r="O190" i="38"/>
  <c r="K203" i="37"/>
  <c r="AA188" i="38"/>
  <c r="AD188" i="38"/>
  <c r="V190" i="38"/>
  <c r="Q203" i="37"/>
  <c r="B193" i="38"/>
  <c r="C192" i="38"/>
  <c r="R191" i="38"/>
  <c r="S191" i="38"/>
  <c r="N204" i="37"/>
  <c r="AE187" i="38"/>
  <c r="AH187" i="38"/>
  <c r="AI187" i="38"/>
  <c r="Z189" i="38"/>
  <c r="W189" i="38"/>
  <c r="G196" i="38"/>
  <c r="F197" i="38"/>
  <c r="V191" i="38"/>
  <c r="Q204" i="37"/>
  <c r="R192" i="38"/>
  <c r="S192" i="38"/>
  <c r="N205" i="37"/>
  <c r="N191" i="38"/>
  <c r="O191" i="38"/>
  <c r="K204" i="37"/>
  <c r="AA189" i="38"/>
  <c r="AD189" i="38"/>
  <c r="W190" i="38"/>
  <c r="Z190" i="38"/>
  <c r="F198" i="38"/>
  <c r="G197" i="38"/>
  <c r="AE188" i="38"/>
  <c r="AH188" i="38"/>
  <c r="AI188" i="38"/>
  <c r="J191" i="38"/>
  <c r="K191" i="38"/>
  <c r="H204" i="37"/>
  <c r="B194" i="38"/>
  <c r="C193" i="38"/>
  <c r="J192" i="38"/>
  <c r="K192" i="38"/>
  <c r="H205" i="37"/>
  <c r="AH189" i="38"/>
  <c r="AI189" i="38"/>
  <c r="AE189" i="38"/>
  <c r="R193" i="38"/>
  <c r="S193" i="38"/>
  <c r="N206" i="37"/>
  <c r="F199" i="38"/>
  <c r="G198" i="38"/>
  <c r="AA190" i="38"/>
  <c r="AD190" i="38"/>
  <c r="N192" i="38"/>
  <c r="O192" i="38"/>
  <c r="K205" i="37"/>
  <c r="V192" i="38"/>
  <c r="Q205" i="37"/>
  <c r="B195" i="38"/>
  <c r="C194" i="38"/>
  <c r="Z191" i="38"/>
  <c r="W191" i="38"/>
  <c r="N193" i="38"/>
  <c r="O193" i="38"/>
  <c r="K206" i="37"/>
  <c r="B196" i="38"/>
  <c r="C195" i="38"/>
  <c r="G199" i="38"/>
  <c r="F200" i="38"/>
  <c r="V193" i="38"/>
  <c r="Q206" i="37"/>
  <c r="AH190" i="38"/>
  <c r="AI190" i="38"/>
  <c r="AE190" i="38"/>
  <c r="R194" i="38"/>
  <c r="S194" i="38"/>
  <c r="N207" i="37"/>
  <c r="J193" i="38"/>
  <c r="K193" i="38"/>
  <c r="H206" i="37"/>
  <c r="AD191" i="38"/>
  <c r="AA191" i="38"/>
  <c r="Z192" i="38"/>
  <c r="W192" i="38"/>
  <c r="R195" i="38"/>
  <c r="S195" i="38"/>
  <c r="N208" i="37"/>
  <c r="V194" i="38"/>
  <c r="Q207" i="37"/>
  <c r="AH191" i="38"/>
  <c r="AI191" i="38"/>
  <c r="AE191" i="38"/>
  <c r="W193" i="38"/>
  <c r="Z193" i="38"/>
  <c r="C196" i="38"/>
  <c r="B197" i="38"/>
  <c r="J194" i="38"/>
  <c r="K194" i="38"/>
  <c r="H207" i="37"/>
  <c r="G200" i="38"/>
  <c r="F201" i="38"/>
  <c r="N194" i="38"/>
  <c r="O194" i="38"/>
  <c r="K207" i="37"/>
  <c r="AA192" i="38"/>
  <c r="AD192" i="38"/>
  <c r="N195" i="38"/>
  <c r="O195" i="38"/>
  <c r="K208" i="37"/>
  <c r="J195" i="38"/>
  <c r="K195" i="38"/>
  <c r="H208" i="37"/>
  <c r="AA193" i="38"/>
  <c r="AD193" i="38"/>
  <c r="V195" i="38"/>
  <c r="Q208" i="37"/>
  <c r="Z194" i="38"/>
  <c r="W194" i="38"/>
  <c r="AE192" i="38"/>
  <c r="AH192" i="38"/>
  <c r="AI192" i="38"/>
  <c r="F202" i="38"/>
  <c r="G201" i="38"/>
  <c r="C197" i="38"/>
  <c r="B198" i="38"/>
  <c r="R196" i="38"/>
  <c r="S196" i="38"/>
  <c r="N209" i="37"/>
  <c r="B199" i="38"/>
  <c r="C198" i="38"/>
  <c r="V196" i="38"/>
  <c r="Q209" i="37"/>
  <c r="J196" i="38"/>
  <c r="K196" i="38"/>
  <c r="H209" i="37"/>
  <c r="W195" i="38"/>
  <c r="Z195" i="38"/>
  <c r="R197" i="38"/>
  <c r="S197" i="38"/>
  <c r="N210" i="37"/>
  <c r="AH193" i="38"/>
  <c r="AI193" i="38"/>
  <c r="AE193" i="38"/>
  <c r="N196" i="38"/>
  <c r="O196" i="38"/>
  <c r="K209" i="37"/>
  <c r="F203" i="38"/>
  <c r="G202" i="38"/>
  <c r="AD194" i="38"/>
  <c r="AA194" i="38"/>
  <c r="AA195" i="38"/>
  <c r="AD195" i="38"/>
  <c r="V197" i="38"/>
  <c r="Q210" i="37"/>
  <c r="G203" i="38"/>
  <c r="F204" i="38"/>
  <c r="W196" i="38"/>
  <c r="Z196" i="38"/>
  <c r="N197" i="38"/>
  <c r="O197" i="38"/>
  <c r="K210" i="37"/>
  <c r="R198" i="38"/>
  <c r="S198" i="38"/>
  <c r="N211" i="37"/>
  <c r="J197" i="38"/>
  <c r="K197" i="38"/>
  <c r="H210" i="37"/>
  <c r="AE194" i="38"/>
  <c r="AH194" i="38"/>
  <c r="AI194" i="38"/>
  <c r="B200" i="38"/>
  <c r="C199" i="38"/>
  <c r="Z197" i="38"/>
  <c r="W197" i="38"/>
  <c r="R199" i="38"/>
  <c r="S199" i="38"/>
  <c r="N212" i="37"/>
  <c r="AD196" i="38"/>
  <c r="AA196" i="38"/>
  <c r="V198" i="38"/>
  <c r="Q211" i="37"/>
  <c r="D12" i="36"/>
  <c r="E12" i="36"/>
  <c r="J198" i="38"/>
  <c r="K198" i="38"/>
  <c r="H211" i="37"/>
  <c r="D9" i="36"/>
  <c r="E9" i="36"/>
  <c r="N198" i="38"/>
  <c r="O198" i="38"/>
  <c r="K211" i="37"/>
  <c r="D10" i="36"/>
  <c r="E10" i="36"/>
  <c r="G204" i="38"/>
  <c r="F205" i="38"/>
  <c r="AH195" i="38"/>
  <c r="AI195" i="38"/>
  <c r="AE195" i="38"/>
  <c r="C200" i="38"/>
  <c r="B201" i="38"/>
  <c r="R200" i="38"/>
  <c r="S200" i="38"/>
  <c r="N213" i="37"/>
  <c r="N199" i="38"/>
  <c r="O199" i="38"/>
  <c r="K212" i="37"/>
  <c r="V199" i="38"/>
  <c r="Q212" i="37"/>
  <c r="Z198" i="38"/>
  <c r="W198" i="38"/>
  <c r="C201" i="38"/>
  <c r="B202" i="38"/>
  <c r="F206" i="38"/>
  <c r="G205" i="38"/>
  <c r="J199" i="38"/>
  <c r="K199" i="38"/>
  <c r="H212" i="37"/>
  <c r="AH196" i="38"/>
  <c r="AI196" i="38"/>
  <c r="AE196" i="38"/>
  <c r="AD197" i="38"/>
  <c r="AA197" i="38"/>
  <c r="F207" i="38"/>
  <c r="G206" i="38"/>
  <c r="AA198" i="38"/>
  <c r="AD198" i="38"/>
  <c r="J200" i="38"/>
  <c r="K200" i="38"/>
  <c r="H213" i="37"/>
  <c r="B203" i="38"/>
  <c r="C202" i="38"/>
  <c r="V200" i="38"/>
  <c r="Q213" i="37"/>
  <c r="R201" i="38"/>
  <c r="S201" i="38"/>
  <c r="N214" i="37"/>
  <c r="N200" i="38"/>
  <c r="O200" i="38"/>
  <c r="K213" i="37"/>
  <c r="AE197" i="38"/>
  <c r="AH197" i="38"/>
  <c r="AI197" i="38"/>
  <c r="W199" i="38"/>
  <c r="Z199" i="38"/>
  <c r="R202" i="38"/>
  <c r="S202" i="38"/>
  <c r="N215" i="37"/>
  <c r="AE198" i="38"/>
  <c r="AH198" i="38"/>
  <c r="AI198" i="38"/>
  <c r="B204" i="38"/>
  <c r="C203" i="38"/>
  <c r="AA199" i="38"/>
  <c r="AD199" i="38"/>
  <c r="N201" i="38"/>
  <c r="O201" i="38"/>
  <c r="K214" i="37"/>
  <c r="V201" i="38"/>
  <c r="Q214" i="37"/>
  <c r="J201" i="38"/>
  <c r="K201" i="38"/>
  <c r="H214" i="37"/>
  <c r="W200" i="38"/>
  <c r="Z200" i="38"/>
  <c r="G207" i="38"/>
  <c r="F208" i="38"/>
  <c r="AD200" i="38"/>
  <c r="AA200" i="38"/>
  <c r="V202" i="38"/>
  <c r="Q215" i="37"/>
  <c r="AH199" i="38"/>
  <c r="AI199" i="38"/>
  <c r="AE199" i="38"/>
  <c r="Z201" i="38"/>
  <c r="W201" i="38"/>
  <c r="G208" i="38"/>
  <c r="F209" i="38"/>
  <c r="J202" i="38"/>
  <c r="K202" i="38"/>
  <c r="H215" i="37"/>
  <c r="N202" i="38"/>
  <c r="O202" i="38"/>
  <c r="K215" i="37"/>
  <c r="R203" i="38"/>
  <c r="S203" i="38"/>
  <c r="N216" i="37"/>
  <c r="C204" i="38"/>
  <c r="B205" i="38"/>
  <c r="Z202" i="38"/>
  <c r="W202" i="38"/>
  <c r="C205" i="38"/>
  <c r="B206" i="38"/>
  <c r="N203" i="38"/>
  <c r="O203" i="38"/>
  <c r="K216" i="37"/>
  <c r="F210" i="38"/>
  <c r="G209" i="38"/>
  <c r="R204" i="38"/>
  <c r="S204" i="38"/>
  <c r="N217" i="37"/>
  <c r="J203" i="38"/>
  <c r="K203" i="38"/>
  <c r="H216" i="37"/>
  <c r="V203" i="38"/>
  <c r="Q216" i="37"/>
  <c r="AD201" i="38"/>
  <c r="AA201" i="38"/>
  <c r="AH200" i="38"/>
  <c r="AI200" i="38"/>
  <c r="AE200" i="38"/>
  <c r="AE201" i="38"/>
  <c r="AH201" i="38"/>
  <c r="AI201" i="38"/>
  <c r="J204" i="38"/>
  <c r="K204" i="38"/>
  <c r="H217" i="37"/>
  <c r="B207" i="38"/>
  <c r="C206" i="38"/>
  <c r="F211" i="38"/>
  <c r="G210" i="38"/>
  <c r="V204" i="38"/>
  <c r="Q217" i="37"/>
  <c r="R205" i="38"/>
  <c r="S205" i="38"/>
  <c r="N218" i="37"/>
  <c r="N204" i="38"/>
  <c r="O204" i="38"/>
  <c r="K217" i="37"/>
  <c r="W203" i="38"/>
  <c r="Z203" i="38"/>
  <c r="AA202" i="38"/>
  <c r="AD202" i="38"/>
  <c r="AA203" i="38"/>
  <c r="AD203" i="38"/>
  <c r="R206" i="38"/>
  <c r="S206" i="38"/>
  <c r="N219" i="37"/>
  <c r="J205" i="38"/>
  <c r="K205" i="38"/>
  <c r="H218" i="37"/>
  <c r="G211" i="38"/>
  <c r="F212" i="38"/>
  <c r="AE202" i="38"/>
  <c r="AH202" i="38"/>
  <c r="AI202" i="38"/>
  <c r="N205" i="38"/>
  <c r="O205" i="38"/>
  <c r="K218" i="37"/>
  <c r="V205" i="38"/>
  <c r="Q218" i="37"/>
  <c r="W204" i="38"/>
  <c r="Z204" i="38"/>
  <c r="B208" i="38"/>
  <c r="C207" i="38"/>
  <c r="G212" i="38"/>
  <c r="F213" i="38"/>
  <c r="AD204" i="38"/>
  <c r="AA204" i="38"/>
  <c r="N206" i="38"/>
  <c r="O206" i="38"/>
  <c r="K219" i="37"/>
  <c r="R207" i="38"/>
  <c r="S207" i="38"/>
  <c r="N220" i="37"/>
  <c r="V206" i="38"/>
  <c r="Q219" i="37"/>
  <c r="J206" i="38"/>
  <c r="K206" i="38"/>
  <c r="H219" i="37"/>
  <c r="AH203" i="38"/>
  <c r="AI203" i="38"/>
  <c r="AE203" i="38"/>
  <c r="C208" i="38"/>
  <c r="B209" i="38"/>
  <c r="Z205" i="38"/>
  <c r="W205" i="38"/>
  <c r="C209" i="38"/>
  <c r="B210" i="38"/>
  <c r="J207" i="38"/>
  <c r="K207" i="38"/>
  <c r="H220" i="37"/>
  <c r="R208" i="38"/>
  <c r="S208" i="38"/>
  <c r="N221" i="37"/>
  <c r="AH204" i="38"/>
  <c r="AI204" i="38"/>
  <c r="AE204" i="38"/>
  <c r="V207" i="38"/>
  <c r="Q220" i="37"/>
  <c r="N207" i="38"/>
  <c r="O207" i="38"/>
  <c r="K220" i="37"/>
  <c r="F214" i="38"/>
  <c r="G213" i="38"/>
  <c r="AD205" i="38"/>
  <c r="AA205" i="38"/>
  <c r="Z206" i="38"/>
  <c r="W206" i="38"/>
  <c r="N208" i="38"/>
  <c r="O208" i="38"/>
  <c r="K221" i="37"/>
  <c r="J208" i="38"/>
  <c r="K208" i="38"/>
  <c r="H221" i="37"/>
  <c r="AE205" i="38"/>
  <c r="AH205" i="38"/>
  <c r="AI205" i="38"/>
  <c r="V208" i="38"/>
  <c r="Q221" i="37"/>
  <c r="R209" i="38"/>
  <c r="S209" i="38"/>
  <c r="N222" i="37"/>
  <c r="B211" i="38"/>
  <c r="C210" i="38"/>
  <c r="AA206" i="38"/>
  <c r="AD206" i="38"/>
  <c r="G214" i="38"/>
  <c r="F215" i="38"/>
  <c r="W207" i="38"/>
  <c r="Z207" i="38"/>
  <c r="J209" i="38"/>
  <c r="K209" i="38"/>
  <c r="H222" i="37"/>
  <c r="F216" i="38"/>
  <c r="G215" i="38"/>
  <c r="V209" i="38"/>
  <c r="Q222" i="37"/>
  <c r="B212" i="38"/>
  <c r="C211" i="38"/>
  <c r="W208" i="38"/>
  <c r="Z208" i="38"/>
  <c r="AA207" i="38"/>
  <c r="AD207" i="38"/>
  <c r="AE206" i="38"/>
  <c r="AH206" i="38"/>
  <c r="AI206" i="38"/>
  <c r="R210" i="38"/>
  <c r="S210" i="38"/>
  <c r="N223" i="37"/>
  <c r="N209" i="38"/>
  <c r="O209" i="38"/>
  <c r="K222" i="37"/>
  <c r="R211" i="38"/>
  <c r="S211" i="38"/>
  <c r="N224" i="37"/>
  <c r="AH207" i="38"/>
  <c r="AI207" i="38"/>
  <c r="AE207" i="38"/>
  <c r="C212" i="38"/>
  <c r="B213" i="38"/>
  <c r="F217" i="38"/>
  <c r="G216" i="38"/>
  <c r="N210" i="38"/>
  <c r="O210" i="38"/>
  <c r="K223" i="37"/>
  <c r="AD208" i="38"/>
  <c r="AA208" i="38"/>
  <c r="V210" i="38"/>
  <c r="Q223" i="37"/>
  <c r="J210" i="38"/>
  <c r="K210" i="38"/>
  <c r="H223" i="37"/>
  <c r="Z209" i="38"/>
  <c r="W209" i="38"/>
  <c r="J211" i="38"/>
  <c r="K211" i="38"/>
  <c r="H224" i="37"/>
  <c r="AH208" i="38"/>
  <c r="AI208" i="38"/>
  <c r="AE208" i="38"/>
  <c r="G217" i="38"/>
  <c r="F218" i="38"/>
  <c r="V211" i="38"/>
  <c r="Q224" i="37"/>
  <c r="N211" i="38"/>
  <c r="O211" i="38"/>
  <c r="K224" i="37"/>
  <c r="B214" i="38"/>
  <c r="C213" i="38"/>
  <c r="R212" i="38"/>
  <c r="S212" i="38"/>
  <c r="N225" i="37"/>
  <c r="AD209" i="38"/>
  <c r="AA209" i="38"/>
  <c r="Z210" i="38"/>
  <c r="W210" i="38"/>
  <c r="V212" i="38"/>
  <c r="Q225" i="37"/>
  <c r="AE209" i="38"/>
  <c r="AH209" i="38"/>
  <c r="AI209" i="38"/>
  <c r="C214" i="38"/>
  <c r="B215" i="38"/>
  <c r="W211" i="38"/>
  <c r="Z211" i="38"/>
  <c r="R213" i="38"/>
  <c r="S213" i="38"/>
  <c r="N226" i="37"/>
  <c r="N212" i="38"/>
  <c r="O212" i="38"/>
  <c r="K225" i="37"/>
  <c r="G218" i="38"/>
  <c r="F219" i="38"/>
  <c r="J212" i="38"/>
  <c r="K212" i="38"/>
  <c r="H225" i="37"/>
  <c r="AA210" i="38"/>
  <c r="AD210" i="38"/>
  <c r="J213" i="38"/>
  <c r="K213" i="38"/>
  <c r="H226" i="37"/>
  <c r="N213" i="38"/>
  <c r="O213" i="38"/>
  <c r="K226" i="37"/>
  <c r="AA211" i="38"/>
  <c r="AD211" i="38"/>
  <c r="AE210" i="38"/>
  <c r="AH210" i="38"/>
  <c r="AI210" i="38"/>
  <c r="F220" i="38"/>
  <c r="G219" i="38"/>
  <c r="R214" i="38"/>
  <c r="S214" i="38"/>
  <c r="N227" i="37"/>
  <c r="C215" i="38"/>
  <c r="B216" i="38"/>
  <c r="V213" i="38"/>
  <c r="Q226" i="37"/>
  <c r="W212" i="38"/>
  <c r="Z212" i="38"/>
  <c r="R215" i="38"/>
  <c r="S215" i="38"/>
  <c r="N228" i="37"/>
  <c r="V214" i="38"/>
  <c r="Q227" i="37"/>
  <c r="N214" i="38"/>
  <c r="O214" i="38"/>
  <c r="K227" i="37"/>
  <c r="Z213" i="38"/>
  <c r="W213" i="38"/>
  <c r="AD212" i="38"/>
  <c r="AA212" i="38"/>
  <c r="B217" i="38"/>
  <c r="C216" i="38"/>
  <c r="AH211" i="38"/>
  <c r="AI211" i="38"/>
  <c r="AE211" i="38"/>
  <c r="J214" i="38"/>
  <c r="K214" i="38"/>
  <c r="H227" i="37"/>
  <c r="F221" i="38"/>
  <c r="G220" i="38"/>
  <c r="J215" i="38"/>
  <c r="K215" i="38"/>
  <c r="H228" i="37"/>
  <c r="V215" i="38"/>
  <c r="Q228" i="37"/>
  <c r="B218" i="38"/>
  <c r="C217" i="38"/>
  <c r="AD213" i="38"/>
  <c r="AA213" i="38"/>
  <c r="W214" i="38"/>
  <c r="Z214" i="38"/>
  <c r="N215" i="38"/>
  <c r="O215" i="38"/>
  <c r="K228" i="37"/>
  <c r="R216" i="38"/>
  <c r="S216" i="38"/>
  <c r="N229" i="37"/>
  <c r="G221" i="38"/>
  <c r="F222" i="38"/>
  <c r="AH212" i="38"/>
  <c r="AI212" i="38"/>
  <c r="AE212" i="38"/>
  <c r="N216" i="38"/>
  <c r="O216" i="38"/>
  <c r="K229" i="37"/>
  <c r="G222" i="38"/>
  <c r="F223" i="38"/>
  <c r="V216" i="38"/>
  <c r="Q229" i="37"/>
  <c r="AH213" i="38"/>
  <c r="AI213" i="38"/>
  <c r="AE213" i="38"/>
  <c r="Z215" i="38"/>
  <c r="W215" i="38"/>
  <c r="R217" i="38"/>
  <c r="S217" i="38"/>
  <c r="N230" i="37"/>
  <c r="AD214" i="38"/>
  <c r="AA214" i="38"/>
  <c r="J216" i="38"/>
  <c r="K216" i="38"/>
  <c r="H229" i="37"/>
  <c r="C218" i="38"/>
  <c r="B219" i="38"/>
  <c r="C219" i="38"/>
  <c r="B220" i="38"/>
  <c r="J217" i="38"/>
  <c r="K217" i="38"/>
  <c r="H230" i="37"/>
  <c r="R218" i="38"/>
  <c r="S218" i="38"/>
  <c r="N231" i="37"/>
  <c r="F224" i="38"/>
  <c r="G223" i="38"/>
  <c r="V217" i="38"/>
  <c r="Q230" i="37"/>
  <c r="N217" i="38"/>
  <c r="O217" i="38"/>
  <c r="K230" i="37"/>
  <c r="AH214" i="38"/>
  <c r="AI214" i="38"/>
  <c r="AE214" i="38"/>
  <c r="AD215" i="38"/>
  <c r="AA215" i="38"/>
  <c r="Z216" i="38"/>
  <c r="W216" i="38"/>
  <c r="AE215" i="38"/>
  <c r="AH215" i="38"/>
  <c r="AI215" i="38"/>
  <c r="F225" i="38"/>
  <c r="G224" i="38"/>
  <c r="V218" i="38"/>
  <c r="Q231" i="37"/>
  <c r="R219" i="38"/>
  <c r="S219" i="38"/>
  <c r="N232" i="37"/>
  <c r="B221" i="38"/>
  <c r="C220" i="38"/>
  <c r="AA216" i="38"/>
  <c r="AD216" i="38"/>
  <c r="W217" i="38"/>
  <c r="Z217" i="38"/>
  <c r="N218" i="38"/>
  <c r="O218" i="38"/>
  <c r="K231" i="37"/>
  <c r="J218" i="38"/>
  <c r="K218" i="38"/>
  <c r="H231" i="37"/>
  <c r="AE216" i="38"/>
  <c r="AH216" i="38"/>
  <c r="AI216" i="38"/>
  <c r="N219" i="38"/>
  <c r="O219" i="38"/>
  <c r="K232" i="37"/>
  <c r="R220" i="38"/>
  <c r="S220" i="38"/>
  <c r="N233" i="37"/>
  <c r="G225" i="38"/>
  <c r="F226" i="38"/>
  <c r="G226" i="38"/>
  <c r="J219" i="38"/>
  <c r="K219" i="38"/>
  <c r="H232" i="37"/>
  <c r="AA217" i="38"/>
  <c r="AD217" i="38"/>
  <c r="V219" i="38"/>
  <c r="Q232" i="37"/>
  <c r="B222" i="38"/>
  <c r="C221" i="38"/>
  <c r="W218" i="38"/>
  <c r="Z218" i="38"/>
  <c r="AH217" i="38"/>
  <c r="AI217" i="38"/>
  <c r="AE217" i="38"/>
  <c r="N220" i="38"/>
  <c r="O220" i="38"/>
  <c r="K233" i="37"/>
  <c r="C222" i="38"/>
  <c r="B223" i="38"/>
  <c r="AD218" i="38"/>
  <c r="AA218" i="38"/>
  <c r="V220" i="38"/>
  <c r="Q233" i="37"/>
  <c r="J220" i="38"/>
  <c r="K220" i="38"/>
  <c r="H233" i="37"/>
  <c r="R221" i="38"/>
  <c r="S221" i="38"/>
  <c r="N234" i="37"/>
  <c r="Z219" i="38"/>
  <c r="W219" i="38"/>
  <c r="J221" i="38"/>
  <c r="K221" i="38"/>
  <c r="H234" i="37"/>
  <c r="N221" i="38"/>
  <c r="O221" i="38"/>
  <c r="K234" i="37"/>
  <c r="AD219" i="38"/>
  <c r="AA219" i="38"/>
  <c r="AH218" i="38"/>
  <c r="AI218" i="38"/>
  <c r="AE218" i="38"/>
  <c r="R222" i="38"/>
  <c r="S222" i="38"/>
  <c r="N235" i="37"/>
  <c r="V221" i="38"/>
  <c r="Q234" i="37"/>
  <c r="C223" i="38"/>
  <c r="B224" i="38"/>
  <c r="Z220" i="38"/>
  <c r="W220" i="38"/>
  <c r="V222" i="38"/>
  <c r="Q235" i="37"/>
  <c r="N222" i="38"/>
  <c r="O222" i="38"/>
  <c r="K235" i="37"/>
  <c r="AA220" i="38"/>
  <c r="AD220" i="38"/>
  <c r="W221" i="38"/>
  <c r="Z221" i="38"/>
  <c r="B225" i="38"/>
  <c r="C224" i="38"/>
  <c r="R223" i="38"/>
  <c r="S223" i="38"/>
  <c r="N236" i="37"/>
  <c r="J222" i="38"/>
  <c r="K222" i="38"/>
  <c r="H235" i="37"/>
  <c r="AE219" i="38"/>
  <c r="AH219" i="38"/>
  <c r="AI219" i="38"/>
  <c r="R224" i="38"/>
  <c r="S224" i="38"/>
  <c r="N237" i="37"/>
  <c r="AA221" i="38"/>
  <c r="AD221" i="38"/>
  <c r="N223" i="38"/>
  <c r="O223" i="38"/>
  <c r="K236" i="37"/>
  <c r="J223" i="38"/>
  <c r="K223" i="38"/>
  <c r="H236" i="37"/>
  <c r="AE220" i="38"/>
  <c r="AH220" i="38"/>
  <c r="AI220" i="38"/>
  <c r="V223" i="38"/>
  <c r="Q236" i="37"/>
  <c r="B226" i="38"/>
  <c r="C226" i="38"/>
  <c r="C225" i="38"/>
  <c r="W222" i="38"/>
  <c r="Z222" i="38"/>
  <c r="AD222" i="38"/>
  <c r="AA222" i="38"/>
  <c r="V224" i="38"/>
  <c r="Q237" i="37"/>
  <c r="J224" i="38"/>
  <c r="K224" i="38"/>
  <c r="H237" i="37"/>
  <c r="AH221" i="38"/>
  <c r="AI221" i="38"/>
  <c r="AE221" i="38"/>
  <c r="Z223" i="38"/>
  <c r="W223" i="38"/>
  <c r="N224" i="38"/>
  <c r="O224" i="38"/>
  <c r="K237" i="37"/>
  <c r="R225" i="38"/>
  <c r="S225" i="38"/>
  <c r="N238" i="37"/>
  <c r="R226" i="38"/>
  <c r="S226" i="38"/>
  <c r="Z224" i="38"/>
  <c r="W224" i="38"/>
  <c r="N225" i="38"/>
  <c r="O225" i="38"/>
  <c r="K238" i="37"/>
  <c r="N226" i="38"/>
  <c r="O226" i="38"/>
  <c r="V225" i="38"/>
  <c r="Q238" i="37"/>
  <c r="V226" i="38"/>
  <c r="J225" i="38"/>
  <c r="K225" i="38"/>
  <c r="H238" i="37"/>
  <c r="J226" i="38"/>
  <c r="K226" i="38"/>
  <c r="AD223" i="38"/>
  <c r="AA223" i="38"/>
  <c r="AH222" i="38"/>
  <c r="AI222" i="38"/>
  <c r="AE222" i="38"/>
  <c r="Z226" i="38"/>
  <c r="W226" i="38"/>
  <c r="AE223" i="38"/>
  <c r="AH223" i="38"/>
  <c r="AI223" i="38"/>
  <c r="W225" i="38"/>
  <c r="Z225" i="38"/>
  <c r="AA224" i="38"/>
  <c r="AD224" i="38"/>
  <c r="AE224" i="38"/>
  <c r="AH224" i="38"/>
  <c r="AI224" i="38"/>
  <c r="AD225" i="38"/>
  <c r="AA225" i="38"/>
  <c r="AD226" i="38"/>
  <c r="AA226" i="38"/>
  <c r="AH225" i="38"/>
  <c r="AI225" i="38"/>
  <c r="AE225" i="38"/>
  <c r="AE226" i="38"/>
  <c r="AH226" i="38"/>
  <c r="AI226" i="38"/>
  <c r="F10" i="34"/>
  <c r="G10" i="34"/>
  <c r="H10" i="34"/>
  <c r="B22" i="4"/>
  <c r="C22" i="4"/>
  <c r="D22" i="4"/>
  <c r="B23" i="4"/>
  <c r="C23" i="4"/>
  <c r="D23" i="4"/>
  <c r="B24" i="4"/>
  <c r="C24" i="4"/>
  <c r="D24" i="4"/>
  <c r="B25" i="4"/>
  <c r="C25" i="4"/>
  <c r="D25" i="4"/>
  <c r="N11" i="4"/>
  <c r="F21" i="4"/>
  <c r="C38" i="12"/>
  <c r="C32" i="12"/>
  <c r="C26" i="12"/>
  <c r="C20" i="12"/>
  <c r="C14" i="12"/>
  <c r="F20" i="1"/>
  <c r="H20" i="1"/>
  <c r="N6" i="14"/>
  <c r="H22" i="4"/>
  <c r="N7" i="14"/>
  <c r="H23" i="4"/>
  <c r="N8" i="14"/>
  <c r="H24" i="4"/>
  <c r="N9" i="14"/>
  <c r="H25" i="4"/>
  <c r="N5" i="14"/>
  <c r="H21" i="4"/>
  <c r="F6" i="14"/>
  <c r="F7" i="14"/>
  <c r="F8" i="14"/>
  <c r="F9" i="14"/>
  <c r="F5" i="14"/>
  <c r="K7" i="12"/>
  <c r="B12" i="31"/>
  <c r="C10" i="12"/>
  <c r="J37" i="12"/>
  <c r="K40" i="12"/>
  <c r="J31" i="12"/>
  <c r="K34" i="12"/>
  <c r="J25" i="12"/>
  <c r="K28" i="12"/>
  <c r="J19" i="12"/>
  <c r="K22" i="12"/>
  <c r="J13" i="12"/>
  <c r="C153" i="1"/>
  <c r="K16" i="12"/>
  <c r="F15" i="34"/>
  <c r="J7" i="12"/>
  <c r="K10" i="12"/>
  <c r="L11" i="31"/>
  <c r="D11" i="31"/>
  <c r="E11" i="31"/>
  <c r="F11" i="31"/>
  <c r="G11" i="31"/>
  <c r="H11" i="31"/>
  <c r="I11" i="31"/>
  <c r="J11" i="31"/>
  <c r="K11" i="31"/>
  <c r="C12" i="31"/>
  <c r="D12" i="31"/>
  <c r="E12" i="31"/>
  <c r="F12" i="31"/>
  <c r="G12" i="31"/>
  <c r="H12" i="31"/>
  <c r="I12" i="31"/>
  <c r="J12" i="31"/>
  <c r="C13" i="31"/>
  <c r="D13" i="31"/>
  <c r="E13" i="31"/>
  <c r="F13" i="31"/>
  <c r="G13" i="31"/>
  <c r="H13" i="31"/>
  <c r="I13" i="31"/>
  <c r="J13" i="31"/>
  <c r="C14" i="31"/>
  <c r="D14" i="31"/>
  <c r="E14" i="31"/>
  <c r="F14" i="31"/>
  <c r="G14" i="31"/>
  <c r="H14" i="31"/>
  <c r="I14" i="31"/>
  <c r="J14" i="31"/>
  <c r="C15" i="31"/>
  <c r="D15" i="31"/>
  <c r="E15" i="31"/>
  <c r="F15" i="31"/>
  <c r="G15" i="31"/>
  <c r="H15" i="31"/>
  <c r="I15" i="31"/>
  <c r="J15" i="31"/>
  <c r="C16" i="31"/>
  <c r="D16" i="31"/>
  <c r="E16" i="31"/>
  <c r="F16" i="31"/>
  <c r="G16" i="31"/>
  <c r="H16" i="31"/>
  <c r="I16" i="31"/>
  <c r="J16" i="31"/>
  <c r="B11" i="31"/>
  <c r="B13" i="31"/>
  <c r="B14" i="31"/>
  <c r="B15" i="31"/>
  <c r="B16" i="31"/>
  <c r="B9" i="31"/>
  <c r="K12" i="31"/>
  <c r="K16" i="31"/>
  <c r="K15" i="31"/>
  <c r="K14" i="31"/>
  <c r="K13" i="31"/>
  <c r="C5" i="14"/>
  <c r="C6" i="14"/>
  <c r="C7" i="14"/>
  <c r="C8" i="14"/>
  <c r="C9" i="14"/>
  <c r="E5" i="14"/>
  <c r="E6" i="14"/>
  <c r="E7" i="14"/>
  <c r="E8" i="14"/>
  <c r="E9" i="14"/>
  <c r="L7" i="12"/>
  <c r="L10" i="12"/>
  <c r="E10" i="12"/>
  <c r="D10" i="12"/>
  <c r="B10" i="12"/>
  <c r="C40" i="12"/>
  <c r="C37" i="12"/>
  <c r="C28" i="12"/>
  <c r="C25" i="12"/>
  <c r="C34" i="12"/>
  <c r="C31" i="12"/>
  <c r="C22" i="12"/>
  <c r="C19" i="12"/>
  <c r="B199" i="1"/>
  <c r="B153" i="1"/>
  <c r="B107" i="1"/>
  <c r="B61" i="1"/>
  <c r="B15" i="1"/>
  <c r="F199" i="1"/>
  <c r="E199" i="1"/>
  <c r="C199" i="1"/>
  <c r="D199" i="1"/>
  <c r="F153" i="1"/>
  <c r="E153" i="1"/>
  <c r="D153" i="1"/>
  <c r="F107" i="1"/>
  <c r="E107" i="1"/>
  <c r="D107" i="1"/>
  <c r="C107" i="1"/>
  <c r="F61" i="1"/>
  <c r="E61" i="1"/>
  <c r="D61" i="1"/>
  <c r="C61" i="1"/>
  <c r="F54" i="1"/>
  <c r="F50" i="1"/>
  <c r="F47" i="1"/>
  <c r="F42" i="1"/>
  <c r="F41" i="1"/>
  <c r="F40" i="1"/>
  <c r="F39" i="1"/>
  <c r="F35" i="1"/>
  <c r="F34" i="1"/>
  <c r="F33" i="1"/>
  <c r="F28" i="1"/>
  <c r="F27" i="1"/>
  <c r="F26" i="1"/>
  <c r="F25" i="1"/>
  <c r="F24" i="1"/>
  <c r="F23" i="1"/>
  <c r="F22" i="1"/>
  <c r="F21" i="1"/>
  <c r="F19" i="1"/>
  <c r="F18" i="1"/>
  <c r="H21" i="13"/>
  <c r="H17" i="13"/>
  <c r="H168" i="1"/>
  <c r="H76" i="1"/>
  <c r="H214" i="1"/>
  <c r="H122" i="1"/>
  <c r="H30" i="1"/>
  <c r="H218" i="1"/>
  <c r="H172" i="1"/>
  <c r="H80" i="1"/>
  <c r="H126" i="1"/>
  <c r="H235" i="1"/>
  <c r="H231" i="1"/>
  <c r="H227" i="1"/>
  <c r="H225" i="1"/>
  <c r="H223" i="1"/>
  <c r="H238" i="1"/>
  <c r="H234" i="1"/>
  <c r="H228" i="1"/>
  <c r="H226" i="1"/>
  <c r="H224" i="1"/>
  <c r="H192" i="1"/>
  <c r="H188" i="1"/>
  <c r="H182" i="1"/>
  <c r="H180" i="1"/>
  <c r="H178" i="1"/>
  <c r="H189" i="1"/>
  <c r="H185" i="1"/>
  <c r="H181" i="1"/>
  <c r="H179" i="1"/>
  <c r="H177" i="1"/>
  <c r="H100" i="1"/>
  <c r="H96" i="1"/>
  <c r="H90" i="1"/>
  <c r="H88" i="1"/>
  <c r="H86" i="1"/>
  <c r="H93" i="1"/>
  <c r="H89" i="1"/>
  <c r="H87" i="1"/>
  <c r="H85" i="1"/>
  <c r="H97" i="1"/>
  <c r="H143" i="1"/>
  <c r="H139" i="1"/>
  <c r="H135" i="1"/>
  <c r="H133" i="1"/>
  <c r="H131" i="1"/>
  <c r="H146" i="1"/>
  <c r="H142" i="1"/>
  <c r="H136" i="1"/>
  <c r="H134" i="1"/>
  <c r="H132" i="1"/>
  <c r="H29" i="13"/>
  <c r="H36" i="13"/>
  <c r="H31" i="13"/>
  <c r="H30" i="13"/>
  <c r="H38" i="13"/>
  <c r="H19" i="1"/>
  <c r="H18" i="1"/>
  <c r="H34" i="1"/>
  <c r="F29" i="1"/>
  <c r="H12" i="13"/>
  <c r="H20" i="13"/>
  <c r="H8" i="13"/>
  <c r="H26" i="13"/>
  <c r="H22" i="13"/>
  <c r="H9" i="13"/>
  <c r="H13" i="13"/>
  <c r="H33" i="13"/>
  <c r="H35" i="13"/>
  <c r="H15" i="13"/>
  <c r="H11" i="13"/>
  <c r="H28" i="13"/>
  <c r="H14" i="13"/>
  <c r="H10" i="13"/>
  <c r="H27" i="13"/>
  <c r="B6" i="14"/>
  <c r="G6" i="14"/>
  <c r="B7" i="14"/>
  <c r="G7" i="14"/>
  <c r="B8" i="14"/>
  <c r="G8" i="14"/>
  <c r="B9" i="14"/>
  <c r="G9" i="14"/>
  <c r="B5" i="14"/>
  <c r="G5" i="14"/>
  <c r="D6" i="14"/>
  <c r="D7" i="14"/>
  <c r="D8" i="14"/>
  <c r="D9" i="14"/>
  <c r="D5" i="14"/>
  <c r="H162" i="1"/>
  <c r="H70" i="1"/>
  <c r="H208" i="1"/>
  <c r="H116" i="1"/>
  <c r="H164" i="1"/>
  <c r="H72" i="1"/>
  <c r="H210" i="1"/>
  <c r="H118" i="1"/>
  <c r="H205" i="1"/>
  <c r="H113" i="1"/>
  <c r="H159" i="1"/>
  <c r="H67" i="1"/>
  <c r="H207" i="1"/>
  <c r="H115" i="1"/>
  <c r="H161" i="1"/>
  <c r="H69" i="1"/>
  <c r="H166" i="1"/>
  <c r="H74" i="1"/>
  <c r="H212" i="1"/>
  <c r="H120" i="1"/>
  <c r="H160" i="1"/>
  <c r="H68" i="1"/>
  <c r="H206" i="1"/>
  <c r="H114" i="1"/>
  <c r="H217" i="1"/>
  <c r="H125" i="1"/>
  <c r="H171" i="1"/>
  <c r="H79" i="1"/>
  <c r="H209" i="1"/>
  <c r="H117" i="1"/>
  <c r="H163" i="1"/>
  <c r="H71" i="1"/>
  <c r="H211" i="1"/>
  <c r="H119" i="1"/>
  <c r="H165" i="1"/>
  <c r="H73" i="1"/>
  <c r="H219" i="1"/>
  <c r="H127" i="1"/>
  <c r="H173" i="1"/>
  <c r="H81" i="1"/>
  <c r="L16" i="31"/>
  <c r="L15" i="31"/>
  <c r="O5" i="14"/>
  <c r="O9" i="14"/>
  <c r="O8" i="14"/>
  <c r="O7" i="14"/>
  <c r="O6" i="14"/>
  <c r="H25" i="1"/>
  <c r="H26" i="1"/>
  <c r="H24" i="1"/>
  <c r="H21" i="1"/>
  <c r="H23" i="1"/>
  <c r="H28" i="1"/>
  <c r="H22" i="1"/>
  <c r="H33" i="1"/>
  <c r="H27" i="1"/>
  <c r="H35" i="1"/>
  <c r="H16" i="13"/>
  <c r="L13" i="31"/>
  <c r="H213" i="1"/>
  <c r="H121" i="1"/>
  <c r="H167" i="1"/>
  <c r="H75" i="1"/>
  <c r="H18" i="13"/>
  <c r="L14" i="31"/>
  <c r="H29" i="1"/>
  <c r="E12" i="12"/>
  <c r="C13" i="12"/>
  <c r="C16" i="12"/>
  <c r="H57" i="1"/>
  <c r="H18" i="34"/>
  <c r="G18" i="34"/>
  <c r="F18" i="34"/>
  <c r="H56" i="1"/>
  <c r="L12" i="31"/>
  <c r="C39" i="12"/>
  <c r="C33" i="12"/>
  <c r="C27" i="12"/>
  <c r="C21" i="12"/>
  <c r="L26" i="12"/>
  <c r="L27" i="12"/>
  <c r="K26" i="12"/>
  <c r="K27" i="12"/>
  <c r="J26" i="12"/>
  <c r="J27" i="12"/>
  <c r="L32" i="12"/>
  <c r="L33" i="12"/>
  <c r="K32" i="12"/>
  <c r="K33" i="12"/>
  <c r="J32" i="12"/>
  <c r="J33" i="12"/>
  <c r="L20" i="12"/>
  <c r="L21" i="12"/>
  <c r="K20" i="12"/>
  <c r="K21" i="12"/>
  <c r="J20" i="12"/>
  <c r="J21" i="12"/>
  <c r="K38" i="12"/>
  <c r="K39" i="12"/>
  <c r="L38" i="12"/>
  <c r="L39" i="12"/>
  <c r="J38" i="12"/>
  <c r="J39" i="12"/>
  <c r="F15" i="1"/>
  <c r="H47" i="1"/>
  <c r="H51" i="1"/>
  <c r="H44" i="1"/>
  <c r="H43" i="1"/>
  <c r="H50" i="1"/>
  <c r="H41" i="1"/>
  <c r="H40" i="1"/>
  <c r="H39" i="1"/>
  <c r="H42" i="1"/>
  <c r="H54" i="1"/>
  <c r="E15" i="1"/>
  <c r="D15" i="1"/>
  <c r="C15" i="1"/>
  <c r="C15" i="12"/>
  <c r="J14" i="12"/>
  <c r="J15" i="12"/>
  <c r="K14" i="12"/>
  <c r="K15" i="12"/>
  <c r="L14" i="12"/>
  <c r="K9" i="12"/>
  <c r="G6" i="34"/>
  <c r="L8" i="12"/>
  <c r="H4" i="34"/>
  <c r="H11" i="34"/>
  <c r="K8" i="12"/>
  <c r="G4" i="34"/>
  <c r="G11" i="34"/>
  <c r="L15" i="12"/>
  <c r="L9" i="12"/>
  <c r="H6" i="34"/>
  <c r="G5" i="34"/>
  <c r="H5" i="34"/>
  <c r="G29" i="34"/>
  <c r="H29" i="34"/>
  <c r="H32" i="34"/>
  <c r="J8" i="12"/>
  <c r="F4" i="34"/>
  <c r="F11" i="34"/>
  <c r="J9" i="12"/>
  <c r="F6" i="34"/>
  <c r="J10" i="12"/>
  <c r="G32" i="34"/>
  <c r="H30" i="34"/>
  <c r="Q11" i="4"/>
  <c r="G30" i="34"/>
  <c r="P11" i="4"/>
  <c r="F5" i="34"/>
  <c r="F29" i="34"/>
  <c r="F32" i="34"/>
  <c r="F30" i="34"/>
  <c r="O11" i="4"/>
  <c r="L18" i="55"/>
  <c r="L20" i="55"/>
  <c r="L14" i="55"/>
  <c r="L12" i="55"/>
  <c r="L22" i="55"/>
  <c r="L16" i="55"/>
  <c r="C10" i="40" l="1"/>
  <c r="C11" i="40"/>
  <c r="C15" i="44"/>
  <c r="C17" i="44" s="1"/>
  <c r="C18" i="44" s="1"/>
  <c r="C20" i="44" s="1"/>
  <c r="C12" i="61"/>
  <c r="C14" i="61" s="1"/>
  <c r="C15" i="61" s="1"/>
  <c r="C17" i="61" s="1"/>
  <c r="C19" i="61" s="1"/>
  <c r="C26" i="65"/>
  <c r="C27" i="65" s="1"/>
  <c r="C12" i="43"/>
  <c r="C13" i="43" s="1"/>
  <c r="C15" i="43" s="1"/>
  <c r="C15" i="59"/>
  <c r="C15" i="70"/>
  <c r="C8" i="60"/>
  <c r="C10" i="60" s="1"/>
  <c r="C12" i="60" s="1"/>
  <c r="C13" i="64"/>
  <c r="C12" i="58"/>
  <c r="C14" i="58" s="1"/>
  <c r="C13" i="59"/>
  <c r="C14" i="59" s="1"/>
  <c r="C29" i="65" l="1"/>
  <c r="C31" i="65" s="1"/>
  <c r="C35" i="65" s="1"/>
  <c r="E69" i="65" s="1"/>
  <c r="C16" i="43"/>
  <c r="C18" i="43" s="1"/>
  <c r="C19" i="43" s="1"/>
  <c r="C32" i="60"/>
  <c r="C22" i="60"/>
  <c r="C18" i="70"/>
  <c r="C19" i="70" s="1"/>
  <c r="C21" i="70" s="1"/>
  <c r="C22" i="70" s="1"/>
  <c r="C16" i="70"/>
  <c r="C15" i="60"/>
  <c r="C17" i="60" s="1"/>
  <c r="C18" i="60" s="1"/>
  <c r="C20" i="60" s="1"/>
  <c r="C16" i="59"/>
  <c r="C19" i="59" s="1"/>
  <c r="C20" i="59" s="1"/>
  <c r="C22" i="59" s="1"/>
  <c r="C17" i="58"/>
  <c r="C18" i="58" s="1"/>
  <c r="C20" i="58" s="1"/>
  <c r="C15" i="58"/>
  <c r="C14" i="64"/>
  <c r="C36" i="65" l="1"/>
  <c r="C37" i="65" s="1"/>
  <c r="E66" i="65" s="1"/>
  <c r="E65" i="65" s="1"/>
  <c r="E64" i="65" s="1"/>
  <c r="C58" i="65" s="1"/>
  <c r="C47" i="65" s="1"/>
  <c r="C23" i="60"/>
  <c r="C17" i="59"/>
  <c r="C17" i="64"/>
  <c r="C18" i="64" s="1"/>
  <c r="C20" i="64" s="1"/>
  <c r="C15" i="64"/>
  <c r="C12" i="40"/>
  <c r="C14" i="40" l="1"/>
  <c r="C16" i="40" s="1"/>
  <c r="C51" i="65"/>
  <c r="C18" i="65" s="1"/>
  <c r="C46" i="65"/>
  <c r="C45" i="65" s="1"/>
  <c r="C19" i="40" l="1"/>
  <c r="C20" i="40" s="1"/>
  <c r="C22" i="40" s="1"/>
  <c r="C17" i="40"/>
  <c r="F22" i="65"/>
  <c r="C40" i="65"/>
  <c r="C54" i="65"/>
  <c r="C55" i="65" s="1"/>
  <c r="F61" i="65"/>
  <c r="F25" i="65" l="1"/>
  <c r="F24" i="65" s="1"/>
  <c r="C42" i="65"/>
  <c r="C53" i="65"/>
  <c r="F26" i="65" l="1"/>
  <c r="F28" i="6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fikxb</author>
    <author>Baker, Kyle</author>
    <author>LCBO</author>
  </authors>
  <commentList>
    <comment ref="X5" authorId="0" shapeId="0" xr:uid="{FEB71E35-D080-428D-A94D-52D21625B3AA}">
      <text>
        <r>
          <rPr>
            <b/>
            <sz val="9"/>
            <color indexed="81"/>
            <rFont val="Tahoma"/>
            <family val="2"/>
          </rPr>
          <t>COSD rates vary based on Country of Origin. Please see the Region of Origin Chart below for groupings.</t>
        </r>
      </text>
    </comment>
    <comment ref="V6" authorId="0" shapeId="0" xr:uid="{327178E5-6707-4F67-87B5-1B814AD5E9E4}">
      <text>
        <r>
          <rPr>
            <b/>
            <sz val="9"/>
            <color indexed="81"/>
            <rFont val="Tahoma"/>
            <family val="2"/>
          </rPr>
          <t>No Certificate of Origin (COO) has been applied = various duty rates apply as per below dependent on product type. 
Examples of COO are: CUSMA, CPTPP, CETA.</t>
        </r>
      </text>
    </comment>
    <comment ref="W6" authorId="1" shapeId="0" xr:uid="{3E8FD283-3F5D-4850-A1EF-3C2A0745C381}">
      <text>
        <r>
          <rPr>
            <b/>
            <sz val="9"/>
            <color indexed="81"/>
            <rFont val="Tahoma"/>
            <family val="2"/>
          </rPr>
          <t>Domestic wines are duty free, Import wines with a valid COO applied are duty free</t>
        </r>
        <r>
          <rPr>
            <sz val="9"/>
            <color indexed="81"/>
            <rFont val="Tahoma"/>
            <family val="2"/>
          </rPr>
          <t xml:space="preserve">
</t>
        </r>
      </text>
    </comment>
    <comment ref="X6" authorId="0" shapeId="0" xr:uid="{2B6431C7-D907-4E52-8612-A4CB4D405E9A}">
      <text>
        <r>
          <rPr>
            <b/>
            <sz val="9"/>
            <color indexed="81"/>
            <rFont val="Tahoma"/>
            <family val="2"/>
          </rPr>
          <t>COSD does not apply to domestic products</t>
        </r>
      </text>
    </comment>
    <comment ref="A8" authorId="2" shapeId="0" xr:uid="{03E76DDB-E2C4-4B76-B666-89DA7F3D43C7}">
      <text>
        <r>
          <rPr>
            <sz val="9"/>
            <color indexed="81"/>
            <rFont val="Tahoma"/>
            <family val="2"/>
          </rPr>
          <t>Select from the drop down box: Table Wine, Light Wine, Fortified, Fortified &gt;=20.1%, Flavoured, Sake or Sparkling</t>
        </r>
      </text>
    </comment>
    <comment ref="E8" authorId="2" shapeId="0" xr:uid="{5A9915D0-6C56-464D-8D08-10D422C6983B}">
      <text>
        <r>
          <rPr>
            <sz val="9"/>
            <color indexed="81"/>
            <rFont val="Tahoma"/>
            <family val="2"/>
          </rPr>
          <t xml:space="preserve">This is a calculated field. Excise rate for wine is based on product type and alcohol percentage. </t>
        </r>
      </text>
    </comment>
    <comment ref="A9" authorId="2" shapeId="0" xr:uid="{7431DFC8-57FE-4653-9A95-3E0EC4DF6FF3}">
      <text>
        <r>
          <rPr>
            <sz val="9"/>
            <color indexed="81"/>
            <rFont val="Tahoma"/>
            <family val="2"/>
          </rPr>
          <t>Select Y if you will be submitting a certificate of origin (e.g. CETA, CUSMA, CPTPP), N if not - this will impact duty applied</t>
        </r>
      </text>
    </comment>
    <comment ref="E9" authorId="2" shapeId="0" xr:uid="{6E52285C-9AC7-403E-9EF1-C405810AA9AB}">
      <text>
        <r>
          <rPr>
            <sz val="9"/>
            <color indexed="81"/>
            <rFont val="Tahoma"/>
            <family val="2"/>
          </rPr>
          <t>This is a calculated field. Duty rate for wine is based on product/certificate of origin, product type and alcohol percentage. Please refer to Reference tab for applicable rates</t>
        </r>
      </text>
    </comment>
    <comment ref="A10" authorId="2" shapeId="0" xr:uid="{76077CF5-6141-4FE2-988C-54AA36F2A7F6}">
      <text>
        <r>
          <rPr>
            <sz val="9"/>
            <color indexed="81"/>
            <rFont val="Tahoma"/>
            <family val="2"/>
          </rPr>
          <t>Select applicable COSD group from the drop down box. For more information on COSD groupings see Reference Tab - this will impact COSD rates</t>
        </r>
      </text>
    </comment>
    <comment ref="A11" authorId="2" shapeId="0" xr:uid="{577F52EB-1B31-4408-885A-47CD14E5E069}">
      <text>
        <r>
          <rPr>
            <sz val="9"/>
            <color indexed="81"/>
            <rFont val="Tahoma"/>
            <family val="2"/>
          </rPr>
          <t xml:space="preserve">Enter Supplier Case Quote in Vendor Currency
</t>
        </r>
      </text>
    </comment>
    <comment ref="A12" authorId="2" shapeId="0" xr:uid="{0E908DA5-844A-4259-88E3-9E0FF169C1B8}">
      <text>
        <r>
          <rPr>
            <sz val="9"/>
            <color indexed="81"/>
            <rFont val="Tahoma"/>
            <family val="2"/>
          </rPr>
          <t>Enter exchange rate if quote is in foreign currency. If currency is Canadian, enter 1.00. Links to the current Exchange Rates can be found on the Reference Tab</t>
        </r>
      </text>
    </comment>
    <comment ref="A13" authorId="2" shapeId="0" xr:uid="{5208EA44-2665-4367-A87F-F83FB5B99304}">
      <text>
        <r>
          <rPr>
            <sz val="9"/>
            <color indexed="81"/>
            <rFont val="Tahoma"/>
            <family val="2"/>
          </rPr>
          <t>Enter the case freight for the product, more info on freight rates such as standard freight rates can be found on the Reference Tab</t>
        </r>
      </text>
    </comment>
    <comment ref="A14" authorId="2" shapeId="0" xr:uid="{03BE16C4-9C43-484B-8BAC-CD259A587182}">
      <text>
        <r>
          <rPr>
            <sz val="9"/>
            <color indexed="81"/>
            <rFont val="Tahoma"/>
            <family val="2"/>
          </rPr>
          <t>Enter the size in litres of the selling unit - e.g. 0.750 or 1.500</t>
        </r>
      </text>
    </comment>
    <comment ref="A15" authorId="2" shapeId="0" xr:uid="{FE5FDFEA-3E4F-4354-854E-A16CDA237FC0}">
      <text>
        <r>
          <rPr>
            <sz val="9"/>
            <color indexed="81"/>
            <rFont val="Tahoma"/>
            <family val="2"/>
          </rPr>
          <t>Enter the number of selling units in a shipping case - e.g. 12 or 6 bottles per case</t>
        </r>
      </text>
    </comment>
    <comment ref="A16" authorId="2" shapeId="0" xr:uid="{246C3E06-9435-4A9A-9EC6-D441C268A52F}">
      <text>
        <r>
          <rPr>
            <sz val="9"/>
            <color indexed="81"/>
            <rFont val="Tahoma"/>
            <family val="2"/>
          </rPr>
          <t xml:space="preserve">Enter the number of individual bottles in a selling unit </t>
        </r>
      </text>
    </comment>
    <comment ref="A17" authorId="2" shapeId="0" xr:uid="{6FFAE005-2257-4638-96FC-981BEFD04092}">
      <text>
        <r>
          <rPr>
            <sz val="9"/>
            <color indexed="81"/>
            <rFont val="Tahoma"/>
            <family val="2"/>
          </rPr>
          <t>Enter the percentage of alcohol to be used in calculating LAA for excise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fikxb</author>
    <author>Baker, Kyle</author>
  </authors>
  <commentList>
    <comment ref="J4" authorId="0" shapeId="0" xr:uid="{23D5F14E-D849-4488-88A2-A25B45DC37FD}">
      <text>
        <r>
          <rPr>
            <b/>
            <sz val="9"/>
            <color indexed="81"/>
            <rFont val="Tahoma"/>
            <family val="2"/>
          </rPr>
          <t>COSD rates vary based on Country of Origin. Please see the Region of Origin Chart below for groupings.</t>
        </r>
      </text>
    </comment>
    <comment ref="H5" authorId="0" shapeId="0" xr:uid="{5A49195E-ECD8-4F0B-81B8-AFFABD538B1E}">
      <text>
        <r>
          <rPr>
            <b/>
            <sz val="9"/>
            <color indexed="81"/>
            <rFont val="Tahoma"/>
            <family val="2"/>
          </rPr>
          <t>No Certificate of Origin (COO) has been applied = various duty rates apply as per below dependent on product type. 
Examples of COO are: CUSMA, CPTPP, CETA.</t>
        </r>
      </text>
    </comment>
    <comment ref="I5" authorId="1" shapeId="0" xr:uid="{DDA34B89-32A7-4467-AC77-22D0DF14FA3F}">
      <text>
        <r>
          <rPr>
            <b/>
            <sz val="9"/>
            <color indexed="81"/>
            <rFont val="Tahoma"/>
            <family val="2"/>
          </rPr>
          <t>Domestic wines are duty free, Import wines with a valid COO applied are duty free</t>
        </r>
        <r>
          <rPr>
            <sz val="9"/>
            <color indexed="81"/>
            <rFont val="Tahoma"/>
            <family val="2"/>
          </rPr>
          <t xml:space="preserve">
</t>
        </r>
      </text>
    </comment>
    <comment ref="J5" authorId="0" shapeId="0" xr:uid="{49579330-6529-4AB7-95DF-7E319266C0C3}">
      <text>
        <r>
          <rPr>
            <b/>
            <sz val="9"/>
            <color indexed="81"/>
            <rFont val="Tahoma"/>
            <family val="2"/>
          </rPr>
          <t>COSD does not apply to domestic products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15CF3EC-EC6D-D744-A382-FD6DB0450428}" name="Connection" type="4" refreshedVersion="8" background="1" refreshOnLoad="1" saveData="1">
    <webPr consecutive="1" xl2000="1" url="https://www.x-rates.com/table/?from=CNY&amp;amount=1" htmlTables="1" htmlFormat="all"/>
  </connection>
  <connection id="2" xr16:uid="{99531CD3-3402-C344-976E-FFD6EC7263AB}" name="Connection1" type="4" refreshedVersion="8" background="1" refreshOnLoad="1" saveData="1">
    <webPr consecutive="1" xl2000="1" url="https://www.x-rates.com/table/?from=AUD&amp;amount=1" htmlTables="1" htmlFormat="all"/>
  </connection>
</connections>
</file>

<file path=xl/sharedStrings.xml><?xml version="1.0" encoding="utf-8"?>
<sst xmlns="http://schemas.openxmlformats.org/spreadsheetml/2006/main" count="2407" uniqueCount="1027">
  <si>
    <t>Slip sheet</t>
  </si>
  <si>
    <t>Freight to port</t>
  </si>
  <si>
    <t>Certificate of Origin</t>
  </si>
  <si>
    <t>Import Certificate</t>
  </si>
  <si>
    <t>lift on/lift off</t>
  </si>
  <si>
    <t>documentation fee</t>
  </si>
  <si>
    <t>booking fee</t>
  </si>
  <si>
    <t>Optional Extras</t>
  </si>
  <si>
    <t>Export Declaration Number</t>
  </si>
  <si>
    <t>Dunnage Bag</t>
  </si>
  <si>
    <t>20 foot container pack at Freight Forwarder</t>
  </si>
  <si>
    <t>Origin post service charges</t>
  </si>
  <si>
    <t>Bill of Lading Ammendment Fee</t>
  </si>
  <si>
    <t>port security charges</t>
  </si>
  <si>
    <t>Origin terminal handling costs</t>
  </si>
  <si>
    <t>Assumptions</t>
  </si>
  <si>
    <t>Wine Australia - Shiping Approval Cost via WEA</t>
  </si>
  <si>
    <t>10 slip sheets/container</t>
  </si>
  <si>
    <t>/container</t>
  </si>
  <si>
    <t>/pallet</t>
  </si>
  <si>
    <t>/product</t>
  </si>
  <si>
    <t>/shipment</t>
  </si>
  <si>
    <t>/Bill of Lading</t>
  </si>
  <si>
    <t>/booking</t>
  </si>
  <si>
    <t>one FCL assumed for calculator</t>
  </si>
  <si>
    <t>per FCL</t>
  </si>
  <si>
    <t>/bag</t>
  </si>
  <si>
    <t>/EDN</t>
  </si>
  <si>
    <t>/BL</t>
  </si>
  <si>
    <t>pre receival advice</t>
  </si>
  <si>
    <t>e.g. Adelaide Hill/McLaren Vale/Barossa Valley approx 20/Pallet</t>
  </si>
  <si>
    <t>9L cases /pallet</t>
  </si>
  <si>
    <t>Pallets /container</t>
  </si>
  <si>
    <t>Cases/Container</t>
  </si>
  <si>
    <t>China</t>
  </si>
  <si>
    <t>Certificate of Free Sale</t>
  </si>
  <si>
    <t>UK/EU</t>
  </si>
  <si>
    <t>Product</t>
  </si>
  <si>
    <t>VI1 Certificate</t>
  </si>
  <si>
    <t>Varieties</t>
  </si>
  <si>
    <t>Alcohol (%)</t>
  </si>
  <si>
    <t>Vintage</t>
  </si>
  <si>
    <t>Closure</t>
  </si>
  <si>
    <t>FOB ($/case)</t>
  </si>
  <si>
    <t>Revenue</t>
  </si>
  <si>
    <t>Margin</t>
  </si>
  <si>
    <t>Select Market</t>
  </si>
  <si>
    <t>Market</t>
  </si>
  <si>
    <t>USA</t>
  </si>
  <si>
    <t>UK</t>
  </si>
  <si>
    <t>Belgium</t>
  </si>
  <si>
    <t>Brazil</t>
  </si>
  <si>
    <t>Canada</t>
  </si>
  <si>
    <t>Denmark</t>
  </si>
  <si>
    <t>Germany</t>
  </si>
  <si>
    <t>Japan</t>
  </si>
  <si>
    <t>Netherlands</t>
  </si>
  <si>
    <t>Poland</t>
  </si>
  <si>
    <t>Singapore</t>
  </si>
  <si>
    <t>South Korea</t>
  </si>
  <si>
    <t>Thailand</t>
  </si>
  <si>
    <t>Other</t>
  </si>
  <si>
    <t>Export Market</t>
  </si>
  <si>
    <t>Japanese Export Certificate</t>
  </si>
  <si>
    <t>Brazil certificate of origin</t>
  </si>
  <si>
    <t>FOB costs</t>
  </si>
  <si>
    <t>Market Charges</t>
  </si>
  <si>
    <t>5 bags/FCL</t>
  </si>
  <si>
    <t>Copper and Iron Testing</t>
  </si>
  <si>
    <t>Sweden</t>
  </si>
  <si>
    <t>On board delivery costs (FOB)</t>
  </si>
  <si>
    <t>Range</t>
  </si>
  <si>
    <t>Competitor 1</t>
  </si>
  <si>
    <t>Price</t>
  </si>
  <si>
    <t>Competitor 2</t>
  </si>
  <si>
    <t>Competitor 3</t>
  </si>
  <si>
    <t>/sheet</t>
  </si>
  <si>
    <t>Base Cost</t>
  </si>
  <si>
    <t>Cost per Case (FCL)</t>
  </si>
  <si>
    <t>FOB</t>
  </si>
  <si>
    <t>TOTAL FOB CHARGES</t>
  </si>
  <si>
    <t>FOB Price Detail</t>
  </si>
  <si>
    <t>Competitor Set Evaluation</t>
  </si>
  <si>
    <t>Competitor set price</t>
  </si>
  <si>
    <t>US Dollar</t>
  </si>
  <si>
    <t>British Pound</t>
  </si>
  <si>
    <t>Emirati Dirham</t>
  </si>
  <si>
    <t>Turkish Lira</t>
  </si>
  <si>
    <t>Trinidadian Dollar</t>
  </si>
  <si>
    <t>Thai Baht</t>
  </si>
  <si>
    <t>Taiwan New Dollar</t>
  </si>
  <si>
    <t>Swiss Franc</t>
  </si>
  <si>
    <t>Swedish Krona</t>
  </si>
  <si>
    <t>Sri Lankan Rupee</t>
  </si>
  <si>
    <t>South African Rand</t>
  </si>
  <si>
    <t>Singapore Dollar</t>
  </si>
  <si>
    <t>Saudi Arabian Riyal</t>
  </si>
  <si>
    <t>Russian Ruble</t>
  </si>
  <si>
    <t>Romanian New Leu</t>
  </si>
  <si>
    <t>Qatari Riyal</t>
  </si>
  <si>
    <t>Polish Zloty</t>
  </si>
  <si>
    <t>Philippine Peso</t>
  </si>
  <si>
    <t>Pakistani Rupee</t>
  </si>
  <si>
    <t>Omani Rial</t>
  </si>
  <si>
    <t>Norwegian Krone</t>
  </si>
  <si>
    <t>New Zealand Dollar</t>
  </si>
  <si>
    <t>Nepalese Rupee</t>
  </si>
  <si>
    <t>Mexican Peso</t>
  </si>
  <si>
    <t>Mauritian Rupee</t>
  </si>
  <si>
    <t>Malaysian Ringgit</t>
  </si>
  <si>
    <t>Libyan Dinar</t>
  </si>
  <si>
    <t>Kuwaiti Dinar</t>
  </si>
  <si>
    <t>South Korean Won</t>
  </si>
  <si>
    <t>Kazakhstani Tenge</t>
  </si>
  <si>
    <t>Japanese Yen</t>
  </si>
  <si>
    <t>Israeli Shekel</t>
  </si>
  <si>
    <t>Iranian Rial</t>
  </si>
  <si>
    <t>Indonesian Rupiah</t>
  </si>
  <si>
    <t>Indian Rupee</t>
  </si>
  <si>
    <t>Icelandic Krona</t>
  </si>
  <si>
    <t>Hungarian Forint</t>
  </si>
  <si>
    <t>Hong Kong Dollar</t>
  </si>
  <si>
    <t>Euro</t>
  </si>
  <si>
    <t>Danish Krone</t>
  </si>
  <si>
    <t>Czech Koruna</t>
  </si>
  <si>
    <t>Colombian Peso</t>
  </si>
  <si>
    <t>Chinese Yuan Renminbi</t>
  </si>
  <si>
    <t>Chilean Peso</t>
  </si>
  <si>
    <t>Canadian Dollar</t>
  </si>
  <si>
    <t>Bulgarian Lev</t>
  </si>
  <si>
    <t>Bruneian Dollar</t>
  </si>
  <si>
    <t>Brazilian Real</t>
  </si>
  <si>
    <t>Botswana Pula</t>
  </si>
  <si>
    <t>Bahraini Dinar</t>
  </si>
  <si>
    <t>Argentine Peso</t>
  </si>
  <si>
    <t>Australian Dollar</t>
  </si>
  <si>
    <t>Samples</t>
  </si>
  <si>
    <t>Direct export costs</t>
  </si>
  <si>
    <t>TOTAL EXPORT EXPENSES</t>
  </si>
  <si>
    <t>Net Revenue</t>
  </si>
  <si>
    <t xml:space="preserve">This calculator makes the assumption that each shipment you make will be one 20 Foot container. Shipments of less than one container will likely attract more costs and will result in a higher FOB respectively. </t>
  </si>
  <si>
    <t>Shipment Cost Schedule</t>
  </si>
  <si>
    <t>Misc</t>
  </si>
  <si>
    <t>Exchange rate effect</t>
  </si>
  <si>
    <t>percentage</t>
  </si>
  <si>
    <t xml:space="preserve">one FCL </t>
  </si>
  <si>
    <t>assumed for calculator</t>
  </si>
  <si>
    <t>SALES EXPENSES</t>
  </si>
  <si>
    <t>NET REVENUE CONTRIBUTION FROM EXPORTS</t>
  </si>
  <si>
    <t>Net revenue with  exchange rate movement</t>
  </si>
  <si>
    <t>Wine Offer Template</t>
  </si>
  <si>
    <t>Sales Plan</t>
  </si>
  <si>
    <t>1.00 CNY</t>
  </si>
  <si>
    <t>inv. 1.00 CNY</t>
  </si>
  <si>
    <t>Note that if the Australian dollar rises (overall or against the currency of your export market) the income you receive from export sales will drop. Use the drop down menu to see what impact an increase in the Australian Dollar will have on your net revenue contribution</t>
  </si>
  <si>
    <t>Risk description</t>
  </si>
  <si>
    <t>Rating</t>
  </si>
  <si>
    <t>Consequences</t>
  </si>
  <si>
    <t>Management</t>
  </si>
  <si>
    <t xml:space="preserve">The risk that the Australian dollar appreciates against target currency </t>
  </si>
  <si>
    <t>High</t>
  </si>
  <si>
    <t>Significant financial risk involved for exporters resulting in loss of profit margin.</t>
  </si>
  <si>
    <t>Negotiable with distributors the terms of exchange rate fluctuation. This is often settled by sharing the risk.</t>
  </si>
  <si>
    <t xml:space="preserve">Risk of legal regulations becoming an export issue </t>
  </si>
  <si>
    <t>Medium</t>
  </si>
  <si>
    <t>Frequent changing and different import/export laws may cause issues for the importation of products.</t>
  </si>
  <si>
    <t xml:space="preserve">Ensure you are fully aware of country import laws and where necessary have a legal advisor </t>
  </si>
  <si>
    <t>Delivering the goods and not receiving payment</t>
  </si>
  <si>
    <t>Ensure that any contractual agreements are with reliable people. Credit checks of any customers prior to any engagement.</t>
  </si>
  <si>
    <t>Political issues of country becoming an import problem</t>
  </si>
  <si>
    <t>Variable by country</t>
  </si>
  <si>
    <t>Bribery, graft and corruption causing an issue for the reputation of the product</t>
  </si>
  <si>
    <t>Brand reputation can be tarnished by having products imitated and sold in the export market.</t>
  </si>
  <si>
    <t>Ensure that all IP and trademark protection is in order and can be in affect within the country.</t>
  </si>
  <si>
    <t>Compliance not being met</t>
  </si>
  <si>
    <t>Products can be sent back or disposed of in country if compliance is not met resulting in financial loss.</t>
  </si>
  <si>
    <t>Keep up to date with country compliance and ensure your product meets market compliance BEFORE exporting.</t>
  </si>
  <si>
    <t>Country environment making import difficult</t>
  </si>
  <si>
    <t>Product not capable of being imported because of country environment</t>
  </si>
  <si>
    <t xml:space="preserve">An analysis of the country’s political, legal, social, technological and environmental states should be completed. </t>
  </si>
  <si>
    <t>Transportation and logistics tarnishing the product quality.</t>
  </si>
  <si>
    <t>Low</t>
  </si>
  <si>
    <t>Risk of theft, damage or goods not arriving to location.</t>
  </si>
  <si>
    <t>Ensure contracts fully underline the circumstances surrounding product manipulation. Always have business insurance.</t>
  </si>
  <si>
    <t>Your Risk Management Matrix</t>
  </si>
  <si>
    <t>Risk Management Matrix (example)</t>
  </si>
  <si>
    <t>Product not capable of being imported. Protection for local producers</t>
  </si>
  <si>
    <t>IP</t>
  </si>
  <si>
    <t>Results</t>
  </si>
  <si>
    <t>As you enter your data the cells in the year on year sales growth table and in the sales template will change colour to indicate if the growth is unsustainable</t>
  </si>
  <si>
    <t>Growth is too small</t>
  </si>
  <si>
    <t>0-3%</t>
  </si>
  <si>
    <t>Yellow</t>
  </si>
  <si>
    <t>Good growth range</t>
  </si>
  <si>
    <t>4-10%</t>
  </si>
  <si>
    <t>Green</t>
  </si>
  <si>
    <t>Orange</t>
  </si>
  <si>
    <t>Growth is slightly too high</t>
  </si>
  <si>
    <t>11-20%</t>
  </si>
  <si>
    <t>Growth is too high</t>
  </si>
  <si>
    <t>21-40%</t>
  </si>
  <si>
    <t>Red</t>
  </si>
  <si>
    <t>Growth is far too high</t>
  </si>
  <si>
    <t>&gt;40%</t>
  </si>
  <si>
    <t>Black</t>
  </si>
  <si>
    <t>Go to Sales Plan</t>
  </si>
  <si>
    <t>Go to Net Revenue</t>
  </si>
  <si>
    <t>Return to Sales Plan</t>
  </si>
  <si>
    <t xml:space="preserve"> </t>
  </si>
  <si>
    <t>Fumigated Pallets</t>
  </si>
  <si>
    <t>Go to Shipment Cost Schedule</t>
  </si>
  <si>
    <t>Go to Competitor Set</t>
  </si>
  <si>
    <t>Go to Risk Matrix</t>
  </si>
  <si>
    <t>Be aware of the policies of foreign governments, change marketing tactics accordingly and take  steps to prevent loss of business and investment.</t>
  </si>
  <si>
    <t>Translator</t>
  </si>
  <si>
    <t>Case size</t>
  </si>
  <si>
    <t>Target RRP /750mL</t>
  </si>
  <si>
    <t>Go to Print Version of Wine Offer</t>
  </si>
  <si>
    <t>Sale Price Data</t>
  </si>
  <si>
    <t>$ to produce a case</t>
  </si>
  <si>
    <t>Case sales</t>
  </si>
  <si>
    <t>Cost of production</t>
  </si>
  <si>
    <t>REVENUE CONTRIBUTION</t>
  </si>
  <si>
    <t>Sales Income</t>
  </si>
  <si>
    <t>Region/GI</t>
  </si>
  <si>
    <t>(note the print version is for presentation at trade shows and to distributors)</t>
  </si>
  <si>
    <t>Tools</t>
  </si>
  <si>
    <t>Wine-Searcher</t>
  </si>
  <si>
    <t>Vivino</t>
  </si>
  <si>
    <t>Zomato</t>
  </si>
  <si>
    <t>Drizly</t>
  </si>
  <si>
    <t>Wine Spectator</t>
  </si>
  <si>
    <t>Merchant 23</t>
  </si>
  <si>
    <t>Beverage Trade Network</t>
  </si>
  <si>
    <t>Return Home</t>
  </si>
  <si>
    <t>Home</t>
  </si>
  <si>
    <t>Your Logo Here</t>
  </si>
  <si>
    <t xml:space="preserve">             What is your target FOB: AUD</t>
  </si>
  <si>
    <t>Exchange Rate</t>
  </si>
  <si>
    <t>FOB Ratio</t>
  </si>
  <si>
    <t>Price (AUD)/9L</t>
  </si>
  <si>
    <t>Price 
(OS)/9L</t>
  </si>
  <si>
    <t>Price (OS)/750ml</t>
  </si>
  <si>
    <t>to</t>
  </si>
  <si>
    <t>USA (NY)</t>
  </si>
  <si>
    <t>Canada (Ontario)</t>
  </si>
  <si>
    <t>Hong Kong</t>
  </si>
  <si>
    <t>Exchange rate data provided by X-Rates using the XE money API</t>
  </si>
  <si>
    <t>Exchange rates</t>
  </si>
  <si>
    <t>Inverse Exchange Rates</t>
  </si>
  <si>
    <t>US</t>
  </si>
  <si>
    <t>S Korea</t>
  </si>
  <si>
    <t>1.00 AUD</t>
  </si>
  <si>
    <t>inv. 1.00 AUD</t>
  </si>
  <si>
    <t>Insert FOB price, per dozen (AUD)</t>
  </si>
  <si>
    <t>FOB price, per dozen (USD)</t>
  </si>
  <si>
    <t>CIF price, per dozen (CNY)</t>
  </si>
  <si>
    <t>Consumption tax (10%), per dozen (CNY)</t>
  </si>
  <si>
    <t>Inbound transport cost, per dozen (CNY)</t>
  </si>
  <si>
    <t>Distributor margin</t>
  </si>
  <si>
    <t>Wholesale price, per dozen (CNY)</t>
  </si>
  <si>
    <t>Wholesale price, per bottle (CNY)</t>
  </si>
  <si>
    <t>Retail margin</t>
  </si>
  <si>
    <t>Retail price, per bottle (CNY)</t>
  </si>
  <si>
    <t>Wine cartons of 12 x 750mL are assumed in the above model</t>
  </si>
  <si>
    <t>Refer this site for exchange rates: http://www.xe.com/currencycharts/</t>
  </si>
  <si>
    <t>The above model is an example only, based on the developer's personal experiences within the market.</t>
  </si>
  <si>
    <t>Please apply with caution and discuss your pricing requirements with all relevant parties.</t>
  </si>
  <si>
    <t>Courtesy of Liz Mencel</t>
  </si>
  <si>
    <r>
      <rPr>
        <sz val="16"/>
        <color rgb="FFDE684A"/>
        <rFont val="Wingdings"/>
        <charset val="2"/>
      </rPr>
      <t>ç</t>
    </r>
    <r>
      <rPr>
        <sz val="16"/>
        <color rgb="FFDE684A"/>
        <rFont val="Avenir Book"/>
        <family val="2"/>
      </rPr>
      <t xml:space="preserve"> Price quoted when selling to importer/distributor</t>
    </r>
  </si>
  <si>
    <r>
      <rPr>
        <u/>
        <sz val="16"/>
        <rFont val="Avenir Heavy"/>
        <family val="2"/>
      </rPr>
      <t>General notes</t>
    </r>
    <r>
      <rPr>
        <sz val="16"/>
        <rFont val="Avenir Heavy"/>
        <family val="2"/>
      </rPr>
      <t>:</t>
    </r>
  </si>
  <si>
    <t>Insert exchange rate (AUD/HKD)</t>
  </si>
  <si>
    <t>FOB price, per dozen (HKD)</t>
  </si>
  <si>
    <t>Distributor's freight, insurance and in-bound transport, per dozen (HKD)</t>
  </si>
  <si>
    <t>Distributor landed cost, per dozen (HKD)</t>
  </si>
  <si>
    <t>includes warehousing contingency</t>
  </si>
  <si>
    <t>Wholesale price, per dozen (HKD)</t>
  </si>
  <si>
    <t>Wholesale price, per bottle (HKD)</t>
  </si>
  <si>
    <t>Retail price, per bottle (HKD)</t>
  </si>
  <si>
    <t xml:space="preserve">Refer this site for exchange rates: http://www.xe.com/currencycharts/?from=AUD&amp;to=HKD&amp;view=2Y  </t>
  </si>
  <si>
    <t>Distributor's laid-in costs average HKD 55.00/dozen - based on importing 1-2 pallets via LCL shipment (dry container)</t>
  </si>
  <si>
    <t>No import tarrifs, taxes or duties apply to wine entering Hong Kong</t>
  </si>
  <si>
    <t>Margins applied are higher than in most markets due to expensive real estate and warehousing costs</t>
  </si>
  <si>
    <t>HKD 80.00-100.00/bottle required for std BTG programming</t>
  </si>
  <si>
    <t>HKD 120.00-140.00/bottle required for high-end BTG programming (for the likes of Mandarin Oriental)</t>
  </si>
  <si>
    <t>Insert exchange rate (AUD/SGD)</t>
  </si>
  <si>
    <t>Insert alcohol % of wine</t>
  </si>
  <si>
    <t>FOB price, per dozen (SGD)</t>
  </si>
  <si>
    <t>Distributor's freight, insurance and in-bound transport, per dozen (SGD)</t>
  </si>
  <si>
    <t>Excise duty, per dozen x 750mL (SGD)</t>
  </si>
  <si>
    <t>Distributor landed cost, per dozen (SGD)</t>
  </si>
  <si>
    <t>Wholesale price, per dozen (SGD)</t>
  </si>
  <si>
    <t>Wholesale price, per bottle (SGD)</t>
  </si>
  <si>
    <t>Retail price, per bottle before GST (SGD)</t>
  </si>
  <si>
    <t>Retail price, per bottle after GST (SGD)</t>
  </si>
  <si>
    <t xml:space="preserve">Refer this site for exchange rates: http://www.xe.com/currencycharts/?from=AUD&amp;to=SGD&amp;view=2Y  </t>
  </si>
  <si>
    <t>Distributor's freight costs average SGD 0.80/bottle - based on importing 1-2 pallets via LCL shipment (dry container)</t>
  </si>
  <si>
    <t>Excise duty is based on 9L x $88.00 x alc %</t>
  </si>
  <si>
    <t>Margins used are 'standard' for the industry - discounts may be applied (eg. Distributors work on 18% margin for BTG with volume)</t>
  </si>
  <si>
    <t>SGD 18.00-21.00/bottle required for Wine of the Month programming</t>
  </si>
  <si>
    <t>SGD 22.00-24.00/bottle required for std BTG programming</t>
  </si>
  <si>
    <t>SGD 25.00-28.00/bottle required for high-end BTG programming</t>
  </si>
  <si>
    <t>Insert exchange rate (AUD/GBP)</t>
  </si>
  <si>
    <t>FOB price, per dozen (GBP)</t>
  </si>
  <si>
    <t>Distributor's laid-in costs - freight, insurance, in-bound transport &amp; warehousing, per dozen (GBP)</t>
  </si>
  <si>
    <t>Distributor landed cost, per dozen (GBP)</t>
  </si>
  <si>
    <t>Wholesale price, per dozen (GBP)</t>
  </si>
  <si>
    <t>Wholesale price, per bottle (GBP)</t>
  </si>
  <si>
    <t>Retail price, per bottle, before VAT (GBP)</t>
  </si>
  <si>
    <t>Retail price, per bottle, after VAT (GBP)</t>
  </si>
  <si>
    <t>Refer this site for exchange rates: http://www.xe.com/currencycharts/?from=AUD&amp;to=GBP&amp;view=2Y</t>
  </si>
  <si>
    <t>Distributor's laid-in costs based on FCL shipment (dry container)</t>
  </si>
  <si>
    <t>Distributor margin varies according to size of distributor - smaller distributors may seek as much as 25%</t>
  </si>
  <si>
    <t>VAT of 20% applies on retail sale</t>
  </si>
  <si>
    <t>Insert exchange rate (AUD/USD)</t>
  </si>
  <si>
    <t>Importer landed cost, per dozen (USD)</t>
  </si>
  <si>
    <t>Importer margin</t>
  </si>
  <si>
    <t>excludes A&amp;P contingency (to include add 5%)</t>
  </si>
  <si>
    <t>Distributor stateside price, per dozen (USD)</t>
  </si>
  <si>
    <t>Inland freight average, per dozen (USD)</t>
  </si>
  <si>
    <t>State tax average, per dozen (USD)</t>
  </si>
  <si>
    <t>Distributor landed cost, per dozen (USD)</t>
  </si>
  <si>
    <t>Wholesale price, per dozen (USD)</t>
  </si>
  <si>
    <t>Wholesale price, per bottle (USD)</t>
  </si>
  <si>
    <t>Retail price, per bottle (USD)</t>
  </si>
  <si>
    <t>Refer this site for exchange rates: http://www.xe.com/currencycharts/?from=AUD&amp;to=USD&amp;view=2Y</t>
  </si>
  <si>
    <t>Most USA importers will want to work in USD!</t>
  </si>
  <si>
    <t>Importer's laid-in costs based on FCL rate (dry container) shipped Adelaide to East Coast USA, mix of wines &lt;14% and &gt;14% alc. (no sparkling)</t>
  </si>
  <si>
    <t>Inland freight and tax will vary state to state, the above figures represent averages</t>
  </si>
  <si>
    <t>Margins will vary based on size of importer/distributor/retailer, model adopted and newness of brand - these are a good starting point</t>
  </si>
  <si>
    <t>The above assumes a conventional 3-step distribution model - more direct models are possible which will result in lower case price</t>
  </si>
  <si>
    <t>Most venues will take the wholesale price, per bottle, and multiply by 4 (or as much as 5) to reach wine list price</t>
  </si>
  <si>
    <t>BTG pricing is usually the wine list price/bottle divided by 4</t>
  </si>
  <si>
    <t>Gross Margin Reckoner</t>
  </si>
  <si>
    <r>
      <rPr>
        <sz val="16"/>
        <color rgb="FFD56F43"/>
        <rFont val="Wingdings"/>
        <charset val="2"/>
      </rPr>
      <t>ç</t>
    </r>
    <r>
      <rPr>
        <sz val="16"/>
        <color rgb="FFD56F43"/>
        <rFont val="Avenir Book"/>
        <family val="2"/>
      </rPr>
      <t xml:space="preserve"> Price quoted when selling to importer/distributor</t>
    </r>
  </si>
  <si>
    <r>
      <rPr>
        <sz val="16"/>
        <color rgb="FFD56F43"/>
        <rFont val="Wingdings"/>
        <charset val="2"/>
      </rPr>
      <t>ç</t>
    </r>
    <r>
      <rPr>
        <sz val="16"/>
        <color rgb="FFD56F43"/>
        <rFont val="Avenir Book"/>
        <family val="2"/>
      </rPr>
      <t xml:space="preserve"> Price quoted when selling direct to trade</t>
    </r>
  </si>
  <si>
    <r>
      <rPr>
        <u/>
        <sz val="16"/>
        <rFont val="Avenir Heavy"/>
        <family val="2"/>
      </rPr>
      <t>Important wholesale price points</t>
    </r>
    <r>
      <rPr>
        <sz val="16"/>
        <rFont val="Avenir Heavy"/>
        <family val="2"/>
      </rPr>
      <t>:</t>
    </r>
  </si>
  <si>
    <r>
      <rPr>
        <sz val="16"/>
        <color rgb="FFD56F43"/>
        <rFont val="Wingdings"/>
        <charset val="2"/>
      </rPr>
      <t>ç</t>
    </r>
    <r>
      <rPr>
        <sz val="16"/>
        <color rgb="FFD56F43"/>
        <rFont val="Avenir Book"/>
        <family val="2"/>
      </rPr>
      <t xml:space="preserve"> Price quoted when selling direct to consumer</t>
    </r>
  </si>
  <si>
    <r>
      <rPr>
        <b/>
        <u/>
        <sz val="16"/>
        <rFont val="Avenir Book"/>
        <family val="2"/>
      </rPr>
      <t>Important wholesale price points</t>
    </r>
    <r>
      <rPr>
        <b/>
        <sz val="16"/>
        <rFont val="Avenir Book"/>
        <family val="2"/>
      </rPr>
      <t>:</t>
    </r>
  </si>
  <si>
    <r>
      <rPr>
        <b/>
        <u/>
        <sz val="16"/>
        <rFont val="Avenir Book"/>
        <family val="2"/>
      </rPr>
      <t>General notes</t>
    </r>
    <r>
      <rPr>
        <b/>
        <sz val="16"/>
        <rFont val="Avenir Book"/>
        <family val="2"/>
      </rPr>
      <t>:</t>
    </r>
  </si>
  <si>
    <r>
      <rPr>
        <sz val="16"/>
        <color rgb="FFD56F43"/>
        <rFont val="Wingdings"/>
        <charset val="2"/>
      </rPr>
      <t>ç</t>
    </r>
    <r>
      <rPr>
        <sz val="16"/>
        <color rgb="FFD56F43"/>
        <rFont val="Avenir Book"/>
        <family val="2"/>
      </rPr>
      <t xml:space="preserve"> Price quoted when selling on Direct Import (DI) basis</t>
    </r>
  </si>
  <si>
    <r>
      <rPr>
        <sz val="16"/>
        <color rgb="FFD56F43"/>
        <rFont val="Wingdings"/>
        <charset val="2"/>
      </rPr>
      <t>ç</t>
    </r>
    <r>
      <rPr>
        <sz val="16"/>
        <color rgb="FFD56F43"/>
        <rFont val="Avenir Book"/>
        <family val="2"/>
      </rPr>
      <t xml:space="preserve"> Price quoted when selling stateside from USA</t>
    </r>
  </si>
  <si>
    <r>
      <rPr>
        <u/>
        <sz val="16"/>
        <rFont val="Avenir Heavy"/>
        <family val="2"/>
      </rPr>
      <t>Notes re on-premise pricing</t>
    </r>
    <r>
      <rPr>
        <sz val="16"/>
        <rFont val="Avenir Heavy"/>
        <family val="2"/>
      </rPr>
      <t>:</t>
    </r>
  </si>
  <si>
    <t xml:space="preserve">China RRP </t>
  </si>
  <si>
    <t>Generic FOB to RRP</t>
  </si>
  <si>
    <t>Generic RRP</t>
  </si>
  <si>
    <t>Hong Kong RRP</t>
  </si>
  <si>
    <t>Singapore RRP</t>
  </si>
  <si>
    <t>United Kingdom RRP</t>
  </si>
  <si>
    <t xml:space="preserve">United States of America RRP </t>
  </si>
  <si>
    <t>LCBO (Canada RRP)</t>
  </si>
  <si>
    <t>Nordics RRP</t>
  </si>
  <si>
    <t xml:space="preserve">PRICING  ADMINISTRATION </t>
  </si>
  <si>
    <t>F</t>
  </si>
  <si>
    <t>WINE PRICING CALCULATOR</t>
  </si>
  <si>
    <t>Effective April 1 2018</t>
  </si>
  <si>
    <t xml:space="preserve">LCBO No. </t>
  </si>
  <si>
    <t>ESTIMATE ONLY</t>
  </si>
  <si>
    <t>CASE QUOTE (Duty Paid if Cdn)</t>
  </si>
  <si>
    <t>WINE LEVY ($/L)</t>
  </si>
  <si>
    <t>EXCHANGE RATE</t>
  </si>
  <si>
    <t>VOLUME LEVY ($/L)</t>
  </si>
  <si>
    <t>FREIGHT RATE</t>
  </si>
  <si>
    <t>COSD RATE</t>
  </si>
  <si>
    <t>SELLING UNIT SIZE (LITRES)</t>
  </si>
  <si>
    <t xml:space="preserve">MARK-UP </t>
  </si>
  <si>
    <t>UNITS PER CASE</t>
  </si>
  <si>
    <t>ENVIRO FEE  ($/Btl)</t>
  </si>
  <si>
    <t>CONTAINERS PER SELLING UNIT</t>
  </si>
  <si>
    <t>H.S.T.  RATE</t>
  </si>
  <si>
    <t xml:space="preserve">*EXCISE  RATE </t>
  </si>
  <si>
    <t>CONTAINER DEPOSIT RATE</t>
  </si>
  <si>
    <t xml:space="preserve">DUTY  RATE </t>
  </si>
  <si>
    <t>TYPE OF WINE</t>
  </si>
  <si>
    <t>Table Wine</t>
  </si>
  <si>
    <t xml:space="preserve">ALCOHOL  % </t>
  </si>
  <si>
    <t>IMPORT (I); ONTARIO (O)</t>
  </si>
  <si>
    <t>I</t>
  </si>
  <si>
    <t>ORIGIN</t>
  </si>
  <si>
    <t>Domestic</t>
  </si>
  <si>
    <t>Supplier Quote (CDN)</t>
  </si>
  <si>
    <t>Duty</t>
  </si>
  <si>
    <t>LICENCEE PRICING:</t>
  </si>
  <si>
    <t>Excise</t>
  </si>
  <si>
    <t>Freight Rate</t>
  </si>
  <si>
    <t>Basic Price</t>
  </si>
  <si>
    <t>Landed Cost</t>
  </si>
  <si>
    <t>Licensee Discount</t>
  </si>
  <si>
    <t>Mark up</t>
  </si>
  <si>
    <t>Licensee basic</t>
  </si>
  <si>
    <t>Wine Levy</t>
  </si>
  <si>
    <t>Licensee markup</t>
  </si>
  <si>
    <t>Sub-Total (case)</t>
  </si>
  <si>
    <t>HST</t>
  </si>
  <si>
    <t>Deposit</t>
  </si>
  <si>
    <t>Sub-Total (selling unit)</t>
  </si>
  <si>
    <t>LICENCEE PRICE</t>
  </si>
  <si>
    <t>Volume Levy</t>
  </si>
  <si>
    <t>COSD Amount</t>
  </si>
  <si>
    <t>Environmental Fee</t>
  </si>
  <si>
    <t>Ontario wine Licensee discount</t>
  </si>
  <si>
    <t>O</t>
  </si>
  <si>
    <t>Basic Price (not rounded)</t>
  </si>
  <si>
    <t>Imported wine Licensee discount</t>
  </si>
  <si>
    <t>H.S.T.</t>
  </si>
  <si>
    <t>Retail (not rounded)</t>
  </si>
  <si>
    <t xml:space="preserve">BASIC </t>
  </si>
  <si>
    <t>LEVY &amp; ENVIRO.</t>
  </si>
  <si>
    <t>ACTUAL RETAIL:</t>
  </si>
  <si>
    <t>Litres of absolute alcohol</t>
  </si>
  <si>
    <t>ROUNDED RETAIL</t>
  </si>
  <si>
    <t>Final Retail Price</t>
  </si>
  <si>
    <t>Actual Mark Up %</t>
  </si>
  <si>
    <t>Margin $</t>
  </si>
  <si>
    <t>Margin %</t>
  </si>
  <si>
    <t>Check for Markup</t>
  </si>
  <si>
    <t>basic</t>
  </si>
  <si>
    <t>h.s.t.</t>
  </si>
  <si>
    <t>retail</t>
  </si>
  <si>
    <t>Light Wine &lt;7%</t>
  </si>
  <si>
    <t>Fortified</t>
  </si>
  <si>
    <t>Flavoured</t>
  </si>
  <si>
    <t>NAFTA</t>
  </si>
  <si>
    <t>EU/CETA</t>
  </si>
  <si>
    <t>Container Deposit</t>
  </si>
  <si>
    <t>Glass, Tetra, Bag-in-Box, Tetra &lt;=100ml</t>
  </si>
  <si>
    <t>Glass, Tetra, Bag-in-Box, Tetra &lt; = 630ml</t>
  </si>
  <si>
    <t>Glass, Tetra, Bag-in-Box, Tetra &gt; 630ml</t>
  </si>
  <si>
    <t>Cans (Aluminum or Steel) &lt; = 1000ml</t>
  </si>
  <si>
    <t>Cans (Aluminum or Steel) &gt; 1000ml</t>
  </si>
  <si>
    <t>Markup</t>
  </si>
  <si>
    <t>Wine Levy ($/L)</t>
  </si>
  <si>
    <t>Vol Levy ($/L)</t>
  </si>
  <si>
    <t>Enviro Levy ($/Btl)</t>
  </si>
  <si>
    <t>Fortified wine</t>
  </si>
  <si>
    <t>Sparkling wine</t>
  </si>
  <si>
    <t>Cost per 9L Case (FCL)</t>
  </si>
  <si>
    <t>Blackboxx</t>
  </si>
  <si>
    <t>LibDib</t>
  </si>
  <si>
    <t>&lt;0%</t>
  </si>
  <si>
    <t>NEGATIVE GROWTH</t>
  </si>
  <si>
    <t>Instructions for using the Wine Price Calculator</t>
  </si>
  <si>
    <t>This calculator can be used for the following product types: still table wine, sparkling wine, fortified wine (Port, Sherry, Vermouth) and Sake</t>
  </si>
  <si>
    <t>Enter case quote from supplier</t>
  </si>
  <si>
    <t>Enter exchange rate if quote is in foreign currrency.  If currency is Canadian, enter 1.00</t>
  </si>
  <si>
    <t>Enter the case freight for the product.  If the rate is estimated, the final retail price will also be an estimate</t>
  </si>
  <si>
    <t>Enter the size in litres of the selling unit - e.g. 0.750 OR 1.5</t>
  </si>
  <si>
    <t>Enter the number of selling units in a shipping case - e.g. 12 bottles per case</t>
  </si>
  <si>
    <t>Enter the number of individulal bottles per selling unit (usually 1)</t>
  </si>
  <si>
    <t xml:space="preserve">EXCISE  RATE </t>
  </si>
  <si>
    <t xml:space="preserve">Excise rate on Imported Wine should be set (alc greater than 7.1% = 0.639/litre); (alc 1.2 to 7% = .306/ litre); (alc less than 1.20% = 0.021/litre).  Exise for domestic wine is zero.  </t>
  </si>
  <si>
    <t>Enter the duty rate for the product.  Duty rate is dependent on style of wine and alcohol content - see Chart under Reference Tab.  Duty rate may also vary based on country of origin.</t>
  </si>
  <si>
    <t>Enter the percentage alcohol, for reference only</t>
  </si>
  <si>
    <t>Select from the drop down box: Domestic, NAFTA, EC, Other</t>
  </si>
  <si>
    <t>This rate is applied to all wine except flavoured wine</t>
  </si>
  <si>
    <t>This rate is applied to all packaged wine (0.29/litre)</t>
  </si>
  <si>
    <t>This is a calculated field</t>
  </si>
  <si>
    <t>The rate applied is the standard for all non-refillable packages</t>
  </si>
  <si>
    <t>Tax rate of 13%</t>
  </si>
  <si>
    <t>This is a calculated field, based on product size. Refer to "reference" tab</t>
  </si>
  <si>
    <t>Select from the drop down box: Table Wine, Light Wine, Fortified, Flavoured</t>
  </si>
  <si>
    <t>Enter 'O' for Ontario wine or 'I' for all other wine</t>
  </si>
  <si>
    <t>Container size (mL)</t>
  </si>
  <si>
    <t>Wine and Sake: 7% or more alcohol content by volume</t>
  </si>
  <si>
    <t>Wine and Sake: less than 7% alcohol content by volume</t>
  </si>
  <si>
    <t>Fortified Wine</t>
  </si>
  <si>
    <t>From RRP Calculator</t>
  </si>
  <si>
    <t>From Competitor set</t>
  </si>
  <si>
    <t>Bottles/case</t>
  </si>
  <si>
    <t>Product brand</t>
  </si>
  <si>
    <t>Product name</t>
  </si>
  <si>
    <t>Release date</t>
  </si>
  <si>
    <t>Expected margin</t>
  </si>
  <si>
    <t>Ex-winery price/case</t>
  </si>
  <si>
    <t>Intended market</t>
  </si>
  <si>
    <t>WeChat</t>
  </si>
  <si>
    <t>Trust In Taste</t>
  </si>
  <si>
    <t>Cellar Door Exports</t>
  </si>
  <si>
    <t>Black Square</t>
  </si>
  <si>
    <t>Limmited</t>
  </si>
  <si>
    <t>Inland Trading</t>
  </si>
  <si>
    <t>ASC Fine Wines</t>
  </si>
  <si>
    <t>Free trade zones</t>
  </si>
  <si>
    <t>JD.com</t>
  </si>
  <si>
    <t>TMall</t>
  </si>
  <si>
    <t>Total Wine &amp; More</t>
  </si>
  <si>
    <t>Amazon Go</t>
  </si>
  <si>
    <t>Naked Wines</t>
  </si>
  <si>
    <t>Distrubution cost &amp; commission</t>
  </si>
  <si>
    <t>To unprotect all sheets:</t>
  </si>
  <si>
    <t>GrowingWineExports</t>
  </si>
  <si>
    <t xml:space="preserve"> RRP/ Bottle</t>
  </si>
  <si>
    <t>$0 to $20,000,000</t>
  </si>
  <si>
    <t>$20,000,000 to $70,000,000</t>
  </si>
  <si>
    <t>over $70,000,000</t>
  </si>
  <si>
    <t>+</t>
  </si>
  <si>
    <t>Net revenue contribution</t>
  </si>
  <si>
    <t>Other links</t>
  </si>
  <si>
    <t>Distribution links</t>
  </si>
  <si>
    <t>Fumigated pallets</t>
  </si>
  <si>
    <t>Wine Australia - shipping approval cost via WEA</t>
  </si>
  <si>
    <t>Export declaration number</t>
  </si>
  <si>
    <t>Optional extras</t>
  </si>
  <si>
    <t>Market charges</t>
  </si>
  <si>
    <t>Case breakdown</t>
  </si>
  <si>
    <t>Copper and iron testing</t>
  </si>
  <si>
    <t>HKD conversion (China only)</t>
  </si>
  <si>
    <t>Average price</t>
  </si>
  <si>
    <t>Revenue contribution</t>
  </si>
  <si>
    <t>Sales growth</t>
  </si>
  <si>
    <t>FOB/case</t>
  </si>
  <si>
    <t>Negative growth</t>
  </si>
  <si>
    <t>Continuing approval cost</t>
  </si>
  <si>
    <t>Wine Australia export charge</t>
  </si>
  <si>
    <t>Licence to export</t>
  </si>
  <si>
    <t>Export analysis costs</t>
  </si>
  <si>
    <t>Distributor promotional cost (A&amp;P) AUD/case</t>
  </si>
  <si>
    <t>Export market research</t>
  </si>
  <si>
    <t>Sales staff cost (allocated to this market)</t>
  </si>
  <si>
    <t>Sales staff travel</t>
  </si>
  <si>
    <t>Other travel</t>
  </si>
  <si>
    <t>Wine Australia export charge rates:</t>
  </si>
  <si>
    <t>Debtors are much harder to chase when overseas resulting in significant product and financial loss.</t>
  </si>
  <si>
    <t>Total international cases</t>
  </si>
  <si>
    <t>Category</t>
  </si>
  <si>
    <t>Description</t>
  </si>
  <si>
    <t>Score</t>
  </si>
  <si>
    <t>History in market</t>
  </si>
  <si>
    <t>0-5 years = 0
6-10 years = 3
11-15 years = 5
16–20 years = 7
&gt;20 years = 10</t>
  </si>
  <si>
    <t>/10</t>
  </si>
  <si>
    <t>Brand specific events</t>
  </si>
  <si>
    <t>How often does your winery hold brand specific events/dinners?
2 points for every annual event.</t>
  </si>
  <si>
    <t>Fruit provenance</t>
  </si>
  <si>
    <t>Specifically designated and owned vineyard (10)
Estate (owned) vineyards (7)
Declared regional sourcing (5)</t>
  </si>
  <si>
    <t>Regional story</t>
  </si>
  <si>
    <t>How involved are you with your region? Points for sponsorship, community involvement, event hosting, local produce, etc. that generate stories. 
(self-assess)</t>
  </si>
  <si>
    <t>Brand ‘home’</t>
  </si>
  <si>
    <t xml:space="preserve">On-site tourism cellar relevant to brand story (10) 
Off-site standalone cellar door (5) </t>
  </si>
  <si>
    <t xml:space="preserve">Bookable wine tourism </t>
  </si>
  <si>
    <t>Does your winery have bookable tourism activities/attractions that elevate your cellar door awareness on-line? If on Expedia or Redzy (10); If bookable through region (5); If restaurant booking on-line (3); Otherwise (0)</t>
  </si>
  <si>
    <t>Winery brand</t>
  </si>
  <si>
    <t>Website</t>
  </si>
  <si>
    <t>Must be &lt;3 years old, mobile responsive, linked to google for business, includes a wine shop and utilise search engine optimisation. (10)
Is it visible in China? (if not subtract 5 if you’re targeting China)</t>
  </si>
  <si>
    <t>Regional brand</t>
  </si>
  <si>
    <t>Value “acquired” or “borrowed” from region
 (self-assess)</t>
  </si>
  <si>
    <t>Google/Baidu</t>
  </si>
  <si>
    <t>If someone googles/baidus you– how likely would they be to find you on page one? Top 3 results (10) not top 3 but on first page (5)</t>
  </si>
  <si>
    <t xml:space="preserve">Hero varietal </t>
  </si>
  <si>
    <t>Australian or regional ‘Hero’ varietal(s) 
(self-assess)</t>
  </si>
  <si>
    <t>Club</t>
  </si>
  <si>
    <t>Does your winery have a wine club (with international delivery)?
Free choice &amp; discount (10): discount (5) no discount/choice (0)</t>
  </si>
  <si>
    <t>People profile</t>
  </si>
  <si>
    <t>Winemaker or family member has a marketable profile via: ’winemaker of the year’, ‘young gun’, magazine feature or industry profile 
(self-assess)</t>
  </si>
  <si>
    <t>Strong social validation</t>
  </si>
  <si>
    <t>Any of the following: Over 10,000 followers on Instagram or Facebook or over 3,000 on Twitter. (10)</t>
  </si>
  <si>
    <t>International wine magazine or competition scores</t>
  </si>
  <si>
    <t>&gt;93 = 10; 90 to 93 = 5 
(Wine Spectator, Decanter, Wine Advocate)
Internationally recognised trophy/gold in the last 3yrs (5)</t>
  </si>
  <si>
    <t>Review sites</t>
  </si>
  <si>
    <t>TripAdvisor active, review enabled on Facebook and/or Google? Ranking &gt;4.8 (10) ranking &gt;4.3 (5) ranking &lt;4.3 (0)</t>
  </si>
  <si>
    <t xml:space="preserve">Australian wine shows </t>
  </si>
  <si>
    <t>Capital city wine show trophy in last 3 years (10) 
Capital city wine show gold medal in last 3 years (7) 
Regional wine show gold medal in last 3 years (5) 
Top level award at wine competition in last 3 years (5)</t>
  </si>
  <si>
    <t>Labelling and recognition</t>
  </si>
  <si>
    <t>Is your label one that will appeal or stand out on a shelf to buyers? (self-assess)</t>
  </si>
  <si>
    <t>On top tier restaurant lists in Australia</t>
  </si>
  <si>
    <t>5 or more restaurants for 3 years (10) Less than 5 restaurants or less than 3 years (5)</t>
  </si>
  <si>
    <t>Back-label Interaction</t>
  </si>
  <si>
    <t>Does your bottle have a direct point of interaction? This could be QR codes, augmented reality, web address or image recognition. (self-assess)</t>
  </si>
  <si>
    <t>Reputational X-factor</t>
  </si>
  <si>
    <t xml:space="preserve">Does your brand have a significant, easily communicated point of difference that stands out from closest competitors? Yes (10) No (0) </t>
  </si>
  <si>
    <t>Shelf support</t>
  </si>
  <si>
    <t>Neck tags, shelf talkers, TPR’s (temporary price reductions), end displays, reward schemes, competitions. (self-assess)</t>
  </si>
  <si>
    <t>/100</t>
  </si>
  <si>
    <t>Shelf X-factor</t>
  </si>
  <si>
    <t>Organic, single-vineyard, unique blend, design, story of origin, etc. that impacts consumers from the front-label. (self-assess)</t>
  </si>
  <si>
    <t>Above line promotion</t>
  </si>
  <si>
    <t>TV (30) consumer magazine (5) Trade mag (2)</t>
  </si>
  <si>
    <t>Go to Reputation &amp; Awareness</t>
  </si>
  <si>
    <t>ISPS Shipment fee</t>
  </si>
  <si>
    <t>Manifest Fee</t>
  </si>
  <si>
    <t>/shipper</t>
  </si>
  <si>
    <t>Freight to destination</t>
  </si>
  <si>
    <t>The calculations for the pricing are based off 20 foot containers being used. Use of 40 foot containers will result in a decrease of roughly $2 per case, The cost freight to destination and container pack can change depending on your port of origin</t>
  </si>
  <si>
    <t>20 foot container freight to destination</t>
  </si>
  <si>
    <t>REPUTATION SCORE</t>
  </si>
  <si>
    <t>AWARENESS SCORE</t>
  </si>
  <si>
    <r>
      <t xml:space="preserve">Halliday Wine Companion </t>
    </r>
    <r>
      <rPr>
        <b/>
        <sz val="18"/>
        <color theme="1"/>
        <rFont val="Arial"/>
        <family val="2"/>
      </rPr>
      <t>winery</t>
    </r>
    <r>
      <rPr>
        <sz val="18"/>
        <color theme="1"/>
        <rFont val="Arial"/>
        <family val="2"/>
      </rPr>
      <t xml:space="preserve"> stars x 2 
Plus winery write-ups in books/ magazine features 
(1pt for each in the last 2 yrs)</t>
    </r>
  </si>
  <si>
    <t>Brand</t>
  </si>
  <si>
    <t>Varietal</t>
  </si>
  <si>
    <t>Lead varietal first</t>
  </si>
  <si>
    <t>Year 1</t>
  </si>
  <si>
    <t xml:space="preserve">Year 2 </t>
  </si>
  <si>
    <t xml:space="preserve">Year 3 </t>
  </si>
  <si>
    <t>REPUTATION &amp; AWARENESS SCORECARD</t>
  </si>
  <si>
    <t>Year 2</t>
  </si>
  <si>
    <t>Year 3</t>
  </si>
  <si>
    <t>Current cases available</t>
  </si>
  <si>
    <t xml:space="preserve">% increase in AUD relative value </t>
  </si>
  <si>
    <t>AUD FOB for constant RRP</t>
  </si>
  <si>
    <t>AUD FOB Change</t>
  </si>
  <si>
    <t xml:space="preserve">    Exchange rate sensitivity calculator</t>
  </si>
  <si>
    <t>Eno Wine List</t>
  </si>
  <si>
    <r>
      <rPr>
        <b/>
        <sz val="16"/>
        <color theme="1"/>
        <rFont val="Avenir Book"/>
        <family val="2"/>
      </rPr>
      <t>Income from EMDG grant</t>
    </r>
    <r>
      <rPr>
        <sz val="16"/>
        <color theme="1"/>
        <rFont val="Avenir Book"/>
        <family val="2"/>
      </rPr>
      <t xml:space="preserve">
A contribution from EMDG should be included in year 3 of exporting. You can assume a 40% refund on average for activites directly relating to the promotion of your wine in market. Contact Wine Australia for further infromation on reimbursement and what you can claim.</t>
    </r>
  </si>
  <si>
    <t>Insert AUD/CNY exchange rate</t>
  </si>
  <si>
    <t>FOB price, per dozen (CNY)</t>
  </si>
  <si>
    <t>Distributor's freight and insurance costs, per dozen (CNY)</t>
  </si>
  <si>
    <t>VAT (13%), per dozen (CNY)</t>
  </si>
  <si>
    <r>
      <t>Importer</t>
    </r>
    <r>
      <rPr>
        <sz val="16"/>
        <color theme="1"/>
        <rFont val="Avenir Book"/>
        <family val="2"/>
      </rPr>
      <t xml:space="preserve"> landed cost, per dozen (CNY)</t>
    </r>
  </si>
  <si>
    <t>Distributor price per dozen (CNY)</t>
  </si>
  <si>
    <t>Distributor price, per bottle CNY)</t>
  </si>
  <si>
    <t>Importer freight and insurance costs vary subject to size/economies of scale - typically within the range CNY 7-27 (per 12x750mL carton)</t>
  </si>
  <si>
    <t>The above calculation represents a typical route to market in China - ie. Importer &gt; Distributor &gt; Retailer - but numerous models exist</t>
  </si>
  <si>
    <t>If working with an importer/distributor that sells direct to trade, then a 40-50% margin (or more) may be applied</t>
  </si>
  <si>
    <t>Distributors usually apply a 30-35% margin when on-selling to a retailer (this will be higher if selling to corporate/private buyers)</t>
  </si>
  <si>
    <t>Margins vary significantly between importers, distributors and retailers, these are starting points only!</t>
  </si>
  <si>
    <r>
      <t xml:space="preserve">
China Pricing Model: AUD FOB </t>
    </r>
    <r>
      <rPr>
        <sz val="16"/>
        <color theme="0"/>
        <rFont val="Wingdings"/>
        <charset val="2"/>
      </rPr>
      <t>è</t>
    </r>
    <r>
      <rPr>
        <sz val="16"/>
        <color theme="0"/>
        <rFont val="Avenir Black"/>
        <family val="2"/>
      </rPr>
      <t xml:space="preserve"> CNY RRP</t>
    </r>
  </si>
  <si>
    <r>
      <t xml:space="preserve">
Hong Kong Pricing Model: AUD FOB </t>
    </r>
    <r>
      <rPr>
        <sz val="16"/>
        <color theme="0"/>
        <rFont val="Wingdings"/>
        <charset val="2"/>
      </rPr>
      <t>è</t>
    </r>
    <r>
      <rPr>
        <sz val="16"/>
        <color theme="0"/>
        <rFont val="Avenir Black"/>
        <family val="2"/>
      </rPr>
      <t xml:space="preserve"> HKD RRP</t>
    </r>
  </si>
  <si>
    <r>
      <t xml:space="preserve">
Singapore Pricing Model: AUD FOB </t>
    </r>
    <r>
      <rPr>
        <sz val="16"/>
        <color theme="0"/>
        <rFont val="Wingdings"/>
        <charset val="2"/>
      </rPr>
      <t>è</t>
    </r>
    <r>
      <rPr>
        <sz val="16"/>
        <color theme="0"/>
        <rFont val="Avenir Black"/>
        <family val="2"/>
      </rPr>
      <t xml:space="preserve"> SGD RRP</t>
    </r>
  </si>
  <si>
    <r>
      <t xml:space="preserve">
UK Pricing Model: AUD FOB </t>
    </r>
    <r>
      <rPr>
        <sz val="16"/>
        <color theme="0"/>
        <rFont val="Wingdings"/>
        <charset val="2"/>
      </rPr>
      <t>è</t>
    </r>
    <r>
      <rPr>
        <sz val="16"/>
        <color theme="0"/>
        <rFont val="Avenir Black"/>
        <family val="2"/>
      </rPr>
      <t xml:space="preserve"> GBP RRP</t>
    </r>
  </si>
  <si>
    <r>
      <t xml:space="preserve">
USA Pricing Model: AUD FOB </t>
    </r>
    <r>
      <rPr>
        <sz val="16"/>
        <color theme="0"/>
        <rFont val="Wingdings"/>
        <charset val="2"/>
      </rPr>
      <t>è</t>
    </r>
    <r>
      <rPr>
        <sz val="16"/>
        <color theme="0"/>
        <rFont val="Avenir Black"/>
        <family val="2"/>
      </rPr>
      <t xml:space="preserve"> USD RRP</t>
    </r>
  </si>
  <si>
    <t>FOB to Retail</t>
  </si>
  <si>
    <t>Retail to FOB</t>
  </si>
  <si>
    <t xml:space="preserve">Retail price </t>
  </si>
  <si>
    <t>%</t>
  </si>
  <si>
    <t>Retail price pre consumption tax</t>
  </si>
  <si>
    <t>Distribution margin</t>
  </si>
  <si>
    <t>Landed cost in bond</t>
  </si>
  <si>
    <t>Exchange rate</t>
  </si>
  <si>
    <t>Landed cost</t>
  </si>
  <si>
    <t>AUD per litre</t>
  </si>
  <si>
    <t>Shipping and insurance and in-land haulage</t>
  </si>
  <si>
    <t>FOB price per litre</t>
  </si>
  <si>
    <t>Tax</t>
  </si>
  <si>
    <t>WON per bottle</t>
  </si>
  <si>
    <t>WON per litre</t>
  </si>
  <si>
    <t>Retail mark-up</t>
  </si>
  <si>
    <t>Distribution mark-up</t>
  </si>
  <si>
    <t>Total after VAT</t>
  </si>
  <si>
    <t>VAT</t>
  </si>
  <si>
    <t>Total after taxes</t>
  </si>
  <si>
    <t>Education tax</t>
  </si>
  <si>
    <t>Liquor tax</t>
  </si>
  <si>
    <t>Import duty</t>
  </si>
  <si>
    <t>AUD:WON</t>
  </si>
  <si>
    <t>FOB price, per dozen (YEN)</t>
  </si>
  <si>
    <t>Distributor's freight and insurance costs, per dozen (YEN)</t>
  </si>
  <si>
    <t>CIF price, per dozen (YEN)</t>
  </si>
  <si>
    <t>Self-certified origin certification document required</t>
  </si>
  <si>
    <t>Liquor tax on wine, per dozen (YEN)</t>
  </si>
  <si>
    <t>Consumption tax (10%), per dozen (YEN)</t>
  </si>
  <si>
    <t>Recycling fees, per dozen (YEN)</t>
  </si>
  <si>
    <t>Distributor price per dozen (YEN)</t>
  </si>
  <si>
    <t>Distributor price, per bottle YEN)</t>
  </si>
  <si>
    <t>Wholesale price, per dozen (YEN)</t>
  </si>
  <si>
    <t>Wholesale price, per bottle (YEN)</t>
  </si>
  <si>
    <t>Retail price, per bottle (YEN)</t>
  </si>
  <si>
    <t>Margins vary significantly between distributors and retailers, these are starting points only!</t>
  </si>
  <si>
    <t>Insert AUD/YEN exchange rate</t>
  </si>
  <si>
    <r>
      <t xml:space="preserve">
Japan Pricing Model: AUD FOB </t>
    </r>
    <r>
      <rPr>
        <sz val="16"/>
        <color theme="0"/>
        <rFont val="Wingdings"/>
        <charset val="2"/>
      </rPr>
      <t>è</t>
    </r>
    <r>
      <rPr>
        <sz val="16"/>
        <color theme="0"/>
        <rFont val="Avenir Black"/>
        <family val="2"/>
      </rPr>
      <t xml:space="preserve"> YEN RRP</t>
    </r>
  </si>
  <si>
    <t>UK Global Tariff, per dozen (GBP)</t>
  </si>
  <si>
    <t xml:space="preserve">Import tariff as at 1 April 2021 under JAEPA - 0% for containers holding 2 litres or less and containers holding 10 litres or more. </t>
  </si>
  <si>
    <t>Import tariff (0%), per dozen (YEN)</t>
  </si>
  <si>
    <r>
      <t xml:space="preserve">
South Korea Pricing Model: AUD FOB </t>
    </r>
    <r>
      <rPr>
        <sz val="16"/>
        <color theme="0"/>
        <rFont val="Wingdings"/>
        <charset val="2"/>
      </rPr>
      <t>è</t>
    </r>
    <r>
      <rPr>
        <sz val="16"/>
        <color theme="0"/>
        <rFont val="Avenir Black"/>
        <family val="2"/>
      </rPr>
      <t xml:space="preserve"> WON RRP</t>
    </r>
  </si>
  <si>
    <t>Insert AUD/WON exchange rate</t>
  </si>
  <si>
    <t>FOB price, per dozen (WON)</t>
  </si>
  <si>
    <t>Distributor's freight and insurance costs, per dozen (WON)</t>
  </si>
  <si>
    <t>CIF price, per dozen (WON)</t>
  </si>
  <si>
    <t>Import tariff (0%), per dozen (WON)</t>
  </si>
  <si>
    <t>Distributor price per dozen (WON)</t>
  </si>
  <si>
    <t>Distributor price, per bottle WON)</t>
  </si>
  <si>
    <t>Wholesale price, per dozen (WON)</t>
  </si>
  <si>
    <t>Wholesale price, per bottle (WON)</t>
  </si>
  <si>
    <t>Retail price, per bottle (WON)</t>
  </si>
  <si>
    <t xml:space="preserve">                                                                                                                                                                                                                  </t>
  </si>
  <si>
    <t>Education tax (10%), per dozen (WON)</t>
  </si>
  <si>
    <t>Import tariff as at 12 December 2014 - 0% under Korea-Australia FTA</t>
  </si>
  <si>
    <t>Liquor tax on wine (30%), per dozen (WON)</t>
  </si>
  <si>
    <t>Handling fees for customs clearance (8%)</t>
  </si>
  <si>
    <t>Liquor tax of 30%, Education tax of 10%, and VAT of 10% applies</t>
  </si>
  <si>
    <t>Distributor's landed cost before VAT</t>
  </si>
  <si>
    <t>Distributor's landed cost after VAT</t>
  </si>
  <si>
    <t>In addition to tariffs and taxes, additional fees of about 8% of CIF value will occur for miscellaneous expenses, including customs clearance fees, warehousing fees, transportation fees, etc. The amount of this additional cost depends mainly on the kind of inspection to which the shipment is subject.</t>
  </si>
  <si>
    <t>Freight costs are based on original rates pre-global freight crisis and adjustments should be made where necessary to allow for increased costs.</t>
  </si>
  <si>
    <r>
      <t xml:space="preserve">India Pricing Model: AUD FOB </t>
    </r>
    <r>
      <rPr>
        <sz val="16"/>
        <color theme="0"/>
        <rFont val="Wingdings"/>
        <charset val="2"/>
      </rPr>
      <t>è</t>
    </r>
    <r>
      <rPr>
        <sz val="16"/>
        <color theme="0"/>
        <rFont val="Avenir Black"/>
        <family val="2"/>
      </rPr>
      <t xml:space="preserve"> INR RRP</t>
    </r>
  </si>
  <si>
    <t>Insert exchange rate (AUD/INR)</t>
  </si>
  <si>
    <t>FOB price, per dozen (INR)</t>
  </si>
  <si>
    <t>Distributor's laid-in costs - freight, insurance, in-bound transport &amp; warehousing, per dozen (INR)</t>
  </si>
  <si>
    <t>Import duty rate (%)</t>
  </si>
  <si>
    <t>Import duty, per dozen (INR)</t>
  </si>
  <si>
    <t>Distributor landed cost, per dozen (INR)</t>
  </si>
  <si>
    <t>Wholesale price, per dozen (INR)</t>
  </si>
  <si>
    <t>Wholesale price, per bottle (INR)</t>
  </si>
  <si>
    <t>Retail price, per bottle, before VAT (INR)</t>
  </si>
  <si>
    <t>Retail price, per bottle, after VAT (INR)</t>
  </si>
  <si>
    <t>** see note about the Australia–India Economic Cooperation and Trade Agreement (AI ECTA)</t>
  </si>
  <si>
    <t>Your approximate US$ CIF per bottle is:</t>
  </si>
  <si>
    <t>An additional wholesaler (sub-distributor) in the sales chain will require provision of additional margin of approx 7%.  This is relevant only to certain sales and will depend on preferred routes to market for each importer/distributor.</t>
  </si>
  <si>
    <t>Social Welfare Surcharge, per dozen (INR)</t>
  </si>
  <si>
    <t>Social Welfare Surcharge (%)</t>
  </si>
  <si>
    <t>VAT rate (%, Maharashtra)</t>
  </si>
  <si>
    <t>VAT and excise rates are based on the tax regime of Maharashtra, please adjust depending on destination state</t>
  </si>
  <si>
    <t>Insert exchange rate (AUD/EUR)</t>
  </si>
  <si>
    <t>FOB price, per dozen (EUR)</t>
  </si>
  <si>
    <t>Distributor's laid-in costs - freight, insurance, in-bound transport &amp; warehousing, per dozen (EUR)</t>
  </si>
  <si>
    <t>Import duty, per dozen (EUR)</t>
  </si>
  <si>
    <t>Excise tax, per dozen (EUR)</t>
  </si>
  <si>
    <t>Distributor landed cost, per dozen (EUR)</t>
  </si>
  <si>
    <t>Wholesale price, per dozen (EUR)</t>
  </si>
  <si>
    <t>Wholesale price, per bottle (EUR)</t>
  </si>
  <si>
    <t>Retail price, per bottle, before VAT (EUR)</t>
  </si>
  <si>
    <t>Retail price, per bottle, after VAT (EUR)</t>
  </si>
  <si>
    <t>Select market</t>
  </si>
  <si>
    <t xml:space="preserve">Minimum excise duty </t>
  </si>
  <si>
    <t>(Dir. 92/84/EEC)</t>
  </si>
  <si>
    <t>0 EUR per hectolitre of product</t>
  </si>
  <si>
    <t>(Article 5 of Dir. 92/84/EEC)</t>
  </si>
  <si>
    <t>MS</t>
  </si>
  <si>
    <t>Nat Curr</t>
  </si>
  <si>
    <t>Excise duty per hectolitre</t>
  </si>
  <si>
    <t>VAT%</t>
  </si>
  <si>
    <t>Comm-</t>
  </si>
  <si>
    <t>ents</t>
  </si>
  <si>
    <t>NatCurr</t>
  </si>
  <si>
    <t>EUR</t>
  </si>
  <si>
    <t>AT</t>
  </si>
  <si>
    <t>BE</t>
  </si>
  <si>
    <t>CY</t>
  </si>
  <si>
    <t>DE</t>
  </si>
  <si>
    <t>EE</t>
  </si>
  <si>
    <t>EL</t>
  </si>
  <si>
    <t>ES</t>
  </si>
  <si>
    <t>FI</t>
  </si>
  <si>
    <t>FR</t>
  </si>
  <si>
    <t>HR</t>
  </si>
  <si>
    <t>IE</t>
  </si>
  <si>
    <t>5.5– 15% vol</t>
  </si>
  <si>
    <t>IT</t>
  </si>
  <si>
    <t>LT</t>
  </si>
  <si>
    <t>LU</t>
  </si>
  <si>
    <t>LV</t>
  </si>
  <si>
    <t>MT</t>
  </si>
  <si>
    <t>NL</t>
  </si>
  <si>
    <t>&gt;8.5%</t>
  </si>
  <si>
    <t>PT</t>
  </si>
  <si>
    <t>SI</t>
  </si>
  <si>
    <t>SK</t>
  </si>
  <si>
    <t>Austria</t>
  </si>
  <si>
    <t>Croatia</t>
  </si>
  <si>
    <t>Cyprus</t>
  </si>
  <si>
    <t xml:space="preserve">Import duty and excise tax is estimated based on bottled still wine between 13% and 15% alcohol. </t>
  </si>
  <si>
    <t>Estonia</t>
  </si>
  <si>
    <t>Greece</t>
  </si>
  <si>
    <t>Spain</t>
  </si>
  <si>
    <t>Finland</t>
  </si>
  <si>
    <t>France</t>
  </si>
  <si>
    <t>Ireland</t>
  </si>
  <si>
    <t>Italy</t>
  </si>
  <si>
    <t>Lithuania</t>
  </si>
  <si>
    <t>Luxembourg</t>
  </si>
  <si>
    <t>Latvia</t>
  </si>
  <si>
    <t>Malta</t>
  </si>
  <si>
    <t>Portugal</t>
  </si>
  <si>
    <t>Slovenia</t>
  </si>
  <si>
    <t>Slovakia</t>
  </si>
  <si>
    <r>
      <t xml:space="preserve">
EU Pricing Model: AUD FOB </t>
    </r>
    <r>
      <rPr>
        <sz val="16"/>
        <color theme="0"/>
        <rFont val="Wingdings"/>
        <charset val="2"/>
      </rPr>
      <t>è</t>
    </r>
    <r>
      <rPr>
        <sz val="16"/>
        <color theme="0"/>
        <rFont val="Avenir Black"/>
        <family val="2"/>
      </rPr>
      <t xml:space="preserve"> EUR RRP</t>
    </r>
  </si>
  <si>
    <t>Market name</t>
  </si>
  <si>
    <t>VAT rate</t>
  </si>
  <si>
    <r>
      <t xml:space="preserve">SWEDEN Pricing Model: AUD FOB </t>
    </r>
    <r>
      <rPr>
        <sz val="16"/>
        <color theme="0"/>
        <rFont val="Wingdings"/>
        <charset val="2"/>
      </rPr>
      <t>è</t>
    </r>
    <r>
      <rPr>
        <sz val="16"/>
        <color theme="0"/>
        <rFont val="Avenir Black"/>
        <family val="2"/>
      </rPr>
      <t xml:space="preserve"> SEK RRP</t>
    </r>
  </si>
  <si>
    <t>Insert exchange rate (AUD/SEK)</t>
  </si>
  <si>
    <t>FOB price, per dozen (SEK)</t>
  </si>
  <si>
    <t>Distributor's laid-in costs - freight, insurance, in-bound transport &amp; warehousing, per dozen (SEK)</t>
  </si>
  <si>
    <t>Import duty, per dozen (SEK)</t>
  </si>
  <si>
    <t>Excise tax, per dozen (SEK)</t>
  </si>
  <si>
    <t>Distributor landed cost, per dozen (SEK)</t>
  </si>
  <si>
    <t>Retail price, per bottle, before VAT (SEK)</t>
  </si>
  <si>
    <t>Retail price, per bottle, after VAT (SEK)</t>
  </si>
  <si>
    <t>(15.40 €/hl)</t>
  </si>
  <si>
    <t>Monopoly margin</t>
  </si>
  <si>
    <t>Retail price, per dozen (SEK)</t>
  </si>
  <si>
    <t>** see note</t>
  </si>
  <si>
    <t xml:space="preserve">**Under the Australia-UKFTA the import tariff on Australian wine dropped to zero, as of 31 May 2023. </t>
  </si>
  <si>
    <t>Note: only EU markets with the Euro as national currency can be selected. Finland is also excluded.</t>
  </si>
  <si>
    <t>Freight costs are based on rates pre-global freight crisis and adjustments should be made where necessary to allow for increased costs.</t>
  </si>
  <si>
    <t>**On 2 April 2022, the Australian and Indian Governments have signed the Australia–India Economic Cooperation and Trade Agreement (AI ECTA). When the AI ECTA entered into force (29 December 2022), tariffs on Australian wine with a cost, insurance and freight (CIF) value of over US$5 per 750ml bottle decreased to 100 per cent upon entry into force, with a further phased reduction of 5 per cent per year for 10 years down to 50 per cent. Tariffs on Australian wine with a CIF value of over US$15 per 750ml bottle decreased to 75 per cent upon entry into force, with a further phased reduction of 5 per cent per year for 10 years down to 25 per cent.</t>
  </si>
  <si>
    <r>
      <t xml:space="preserve">Taiwan Pricing Model: AUD FOB </t>
    </r>
    <r>
      <rPr>
        <sz val="16"/>
        <color theme="0"/>
        <rFont val="Wingdings"/>
        <charset val="2"/>
      </rPr>
      <t>è</t>
    </r>
    <r>
      <rPr>
        <sz val="16"/>
        <color theme="0"/>
        <rFont val="Avenir Black"/>
        <family val="2"/>
      </rPr>
      <t xml:space="preserve"> NTD RRP</t>
    </r>
  </si>
  <si>
    <t>Alcohol content of wine</t>
  </si>
  <si>
    <t>FOB price, per dozen (NTD)</t>
  </si>
  <si>
    <t>Distributor's freight and insurance costs, per dozen (NTD)</t>
  </si>
  <si>
    <t>CIF price, per dozen (NTD)</t>
  </si>
  <si>
    <t>Import tariff (10%), per dozen (NTD)</t>
  </si>
  <si>
    <t>Alcohol tax on wine, per dozen (NTD)</t>
  </si>
  <si>
    <t>Wholesale price, per dozen (NTD)</t>
  </si>
  <si>
    <t>Wholesale price, per bottle (NTD)</t>
  </si>
  <si>
    <t>Retail price, per bottle (NTD)</t>
  </si>
  <si>
    <t>Insert AUD/NTD exchange rate</t>
  </si>
  <si>
    <t>Import tariff applicable to Australian exports is the WTO tariff - 10%</t>
  </si>
  <si>
    <t>NT$7 Alcohol tax per litre per degree of alcohol content</t>
  </si>
  <si>
    <t>NT$7 alcohol tax per litre per degree of alcohol content. (Wine is classified as a non-beer brewed alcoholic beverage in the tax act.)</t>
  </si>
  <si>
    <t>PRICING ADMINISTRATION</t>
  </si>
  <si>
    <t>Wines - Effective April 1, 2023</t>
  </si>
  <si>
    <t>Enter Variables in ALL BLUE boxes only:</t>
  </si>
  <si>
    <t>Wine</t>
  </si>
  <si>
    <t>TRADE DEAL</t>
  </si>
  <si>
    <t>Y</t>
  </si>
  <si>
    <t>LOOKUP VALUE</t>
  </si>
  <si>
    <t>COSD REGION</t>
  </si>
  <si>
    <t>CPTPP</t>
  </si>
  <si>
    <t>FINAL RETAIL</t>
  </si>
  <si>
    <t>PRICING BREAK DOWN:</t>
  </si>
  <si>
    <t>10% Licensee Discount</t>
  </si>
  <si>
    <t>Licensee Basic</t>
  </si>
  <si>
    <t>FINAL RETAIL PRICE</t>
  </si>
  <si>
    <t>Light Wine</t>
  </si>
  <si>
    <t>Fortified &gt;= 20.1%</t>
  </si>
  <si>
    <t>Sake</t>
  </si>
  <si>
    <t>Sparkling</t>
  </si>
  <si>
    <t>CUSMA</t>
  </si>
  <si>
    <t>Product Type</t>
  </si>
  <si>
    <t>Levy</t>
  </si>
  <si>
    <t>WINE DUTY ALC</t>
  </si>
  <si>
    <t>COSD</t>
  </si>
  <si>
    <t>Markup Table</t>
  </si>
  <si>
    <t>Sake Duty</t>
  </si>
  <si>
    <t>ALC</t>
  </si>
  <si>
    <t>DUTY</t>
  </si>
  <si>
    <t>&lt;=13.6</t>
  </si>
  <si>
    <t>13.7-14.8</t>
  </si>
  <si>
    <t>14.9-15.8</t>
  </si>
  <si>
    <t>15.9-16.8</t>
  </si>
  <si>
    <t>16.9-17.8</t>
  </si>
  <si>
    <t>17.9-18.8</t>
  </si>
  <si>
    <t>18.9-19.8</t>
  </si>
  <si>
    <t>19.9-20.8</t>
  </si>
  <si>
    <t>20.9-21.9</t>
  </si>
  <si>
    <t>21.8-22.9</t>
  </si>
  <si>
    <t>22.9 and up</t>
  </si>
  <si>
    <t xml:space="preserve">SAKE DUTY </t>
  </si>
  <si>
    <t>DUTY RATE CALC (CELLG12)</t>
  </si>
  <si>
    <t>WINE</t>
  </si>
  <si>
    <t>LIGHT WINE</t>
  </si>
  <si>
    <t>FORTIFIED</t>
  </si>
  <si>
    <t>FLAVOURED</t>
  </si>
  <si>
    <t>SAKE</t>
  </si>
  <si>
    <t>SPARKLING</t>
  </si>
  <si>
    <t>Trade Deal DUTY CELL G12</t>
  </si>
  <si>
    <t>Trade Deal</t>
  </si>
  <si>
    <t>N</t>
  </si>
  <si>
    <t>Pricing Reference</t>
  </si>
  <si>
    <t>COSD Rates</t>
  </si>
  <si>
    <t>REGION OF ORIGIN</t>
  </si>
  <si>
    <t>Trade Deal NO</t>
  </si>
  <si>
    <t>Trade Deal YES or Domestic</t>
  </si>
  <si>
    <t>DOMESTIC</t>
  </si>
  <si>
    <t>OTHER</t>
  </si>
  <si>
    <r>
      <rPr>
        <b/>
        <sz val="11"/>
        <rFont val="Calibri"/>
        <family val="2"/>
        <scheme val="minor"/>
      </rPr>
      <t>Domestic (paid directly by the supplier to CRA)</t>
    </r>
    <r>
      <rPr>
        <sz val="11"/>
        <rFont val="Calibri"/>
        <family val="2"/>
        <scheme val="minor"/>
      </rPr>
      <t>/Import: 0.702/L</t>
    </r>
  </si>
  <si>
    <t>7.1%-13.7% = 0.0187/L; 13.8%-14.9% = 0.0468/L; above 14.9% = 0</t>
  </si>
  <si>
    <t xml:space="preserve">Sake </t>
  </si>
  <si>
    <t>Up to 13.6% 0.0282/L; 13.7%-14.8% 0.0704/L; 14.9%-15.8% 0.0778/L; 15.9%-16.8% 0.0852/L; 16.9%-17.8% 0.0925/L</t>
  </si>
  <si>
    <t>Fortified wine &gt;=20.1%</t>
  </si>
  <si>
    <t>Flavoured wine</t>
  </si>
  <si>
    <r>
      <rPr>
        <b/>
        <sz val="11"/>
        <rFont val="Calibri"/>
        <family val="2"/>
        <scheme val="minor"/>
      </rPr>
      <t>Domestic (paid directly by the supplier to CRA)</t>
    </r>
    <r>
      <rPr>
        <sz val="11"/>
        <rFont val="Calibri"/>
        <family val="2"/>
        <scheme val="minor"/>
      </rPr>
      <t xml:space="preserve">/Import: alc 1.2%-7% = 0.337/L ; alc less than 1.2% = 0.022/L </t>
    </r>
  </si>
  <si>
    <r>
      <t xml:space="preserve">                                        REGION OF ORIGIN CHART  </t>
    </r>
    <r>
      <rPr>
        <b/>
        <sz val="11"/>
        <rFont val="Arial"/>
        <family val="2"/>
      </rPr>
      <t>*Countries Under Regions of Origin</t>
    </r>
  </si>
  <si>
    <t>Others</t>
  </si>
  <si>
    <t>Mexico</t>
  </si>
  <si>
    <t>Australia</t>
  </si>
  <si>
    <t>Argentina</t>
  </si>
  <si>
    <t>Kosovo</t>
  </si>
  <si>
    <t>Chile</t>
  </si>
  <si>
    <t>Bahamas</t>
  </si>
  <si>
    <t>Lebanon</t>
  </si>
  <si>
    <t>Bulgaria</t>
  </si>
  <si>
    <t>Barbados</t>
  </si>
  <si>
    <t>Macedonia</t>
  </si>
  <si>
    <t>New Zealand</t>
  </si>
  <si>
    <t>Belarus</t>
  </si>
  <si>
    <t>Moldova</t>
  </si>
  <si>
    <t>Peru</t>
  </si>
  <si>
    <t>Bermuda</t>
  </si>
  <si>
    <t>Montenegro</t>
  </si>
  <si>
    <t>Czech Republic</t>
  </si>
  <si>
    <t>Bolivia</t>
  </si>
  <si>
    <t>Morocco</t>
  </si>
  <si>
    <t>Demark</t>
  </si>
  <si>
    <t>Vietnam</t>
  </si>
  <si>
    <t>Bosnia- Hercegovina</t>
  </si>
  <si>
    <t>Nicaragua</t>
  </si>
  <si>
    <t>Nigeria</t>
  </si>
  <si>
    <t>British Virgin Islands</t>
  </si>
  <si>
    <t>Norway</t>
  </si>
  <si>
    <t>Panama</t>
  </si>
  <si>
    <t>Colombia</t>
  </si>
  <si>
    <t>Philippines</t>
  </si>
  <si>
    <t>Costa Rica</t>
  </si>
  <si>
    <t>Armenia</t>
  </si>
  <si>
    <t>Hungary</t>
  </si>
  <si>
    <t>Cuba</t>
  </si>
  <si>
    <t>Russia</t>
  </si>
  <si>
    <t>Dominican Republic</t>
  </si>
  <si>
    <t>Saint Lucia</t>
  </si>
  <si>
    <t>Georgia</t>
  </si>
  <si>
    <t>Serbia</t>
  </si>
  <si>
    <t>Grenada</t>
  </si>
  <si>
    <t>Serbia And Montenegro</t>
  </si>
  <si>
    <t>Guadeloupe</t>
  </si>
  <si>
    <t>South Africa</t>
  </si>
  <si>
    <t>Guatemala</t>
  </si>
  <si>
    <t>Sri Lanka</t>
  </si>
  <si>
    <t>Guyana</t>
  </si>
  <si>
    <t>Switzerland</t>
  </si>
  <si>
    <t>Iceland</t>
  </si>
  <si>
    <t>Trinidad</t>
  </si>
  <si>
    <t>Portugal Romania</t>
  </si>
  <si>
    <t>India</t>
  </si>
  <si>
    <t>Turkey</t>
  </si>
  <si>
    <t>Israel</t>
  </si>
  <si>
    <t>Ukraine</t>
  </si>
  <si>
    <t>Jamaica</t>
  </si>
  <si>
    <t>Uruguay</t>
  </si>
  <si>
    <t>Kenya</t>
  </si>
  <si>
    <t>Venezuela</t>
  </si>
  <si>
    <t>Korea</t>
  </si>
  <si>
    <t>US Virgin Islands</t>
  </si>
  <si>
    <t>United Kingdom (UK)</t>
  </si>
  <si>
    <t>*Composition of country groupings reflect the situation at the time of conducting the most recent Cost of Service Differential Audit in 2019.  </t>
  </si>
  <si>
    <t>These groupings may not reflect current membership of trade agreements.</t>
  </si>
  <si>
    <t>per container</t>
  </si>
  <si>
    <t>Contact Information &amp; Helpful Links</t>
  </si>
  <si>
    <t>Pricing Inquiries</t>
  </si>
  <si>
    <t>pricing@lcbo.com</t>
  </si>
  <si>
    <t>Freight Rate Inquiry</t>
  </si>
  <si>
    <t>freightrate.inquiry@lcbo.com</t>
  </si>
  <si>
    <t>Certificate of Origins Submission/Inquiry</t>
  </si>
  <si>
    <t xml:space="preserve">origin.certificates@lcbo.com </t>
  </si>
  <si>
    <t xml:space="preserve">Customs Department </t>
  </si>
  <si>
    <t>Customs.Department@lcbo.com</t>
  </si>
  <si>
    <t>Customs Free Trade Agreement (FTA) hub - Forms and Resurces</t>
  </si>
  <si>
    <t>FTA Resource Hub</t>
  </si>
  <si>
    <t>Other Pricing Calculators</t>
  </si>
  <si>
    <t>Calculators</t>
  </si>
  <si>
    <t>Links to Standard Freight Rates, Exchange Rates, MRP Lists &amp; other useful resources</t>
  </si>
  <si>
    <t>Doing Business with LCBO</t>
  </si>
  <si>
    <t>Quote Increase Schedule</t>
  </si>
  <si>
    <t>Pricing Frequently Asked Questions</t>
  </si>
  <si>
    <t>Pricing FAQ's</t>
  </si>
  <si>
    <t>Pricing Lists and Price Bulletins</t>
  </si>
  <si>
    <t>Price Lists</t>
  </si>
  <si>
    <t>New Item pricing and set up - please contact the appropriate category team for more details on this process</t>
  </si>
  <si>
    <t>PRODUCT TYPE</t>
  </si>
  <si>
    <t>REGION</t>
  </si>
  <si>
    <t>DUTY RATE</t>
  </si>
  <si>
    <t>CASE QUOTE (AUD)</t>
  </si>
  <si>
    <t>Alcohol duty, per dozen (GBP)</t>
  </si>
  <si>
    <t>Liquor tax per kilolitre 1 October 2023 100,000 Y/kl</t>
  </si>
  <si>
    <t>Recycling fees for the model are based on 'other colour' glass bottles at 23.6 ¥/kg. Colourless glass bottles are 5.1 ¥/kg, Amber 7.2 ¥/kg. This example uses the assumption that an empty wine bottle weighs about 500 grams.</t>
  </si>
  <si>
    <r>
      <t xml:space="preserve">Maximum retail price of </t>
    </r>
    <r>
      <rPr>
        <sz val="12"/>
        <rFont val="Calibri"/>
        <family val="2"/>
      </rPr>
      <t>₹</t>
    </r>
    <r>
      <rPr>
        <sz val="12"/>
        <rFont val="Avenir Book"/>
        <family val="2"/>
      </rPr>
      <t>900 =&gt; excise duty of ₹400 per bulk litre, between ₹901 and ₹6000 =&gt; ₹300 per litre, above ₹6000&gt; = 5% of MRP. Adjust as necessary.</t>
    </r>
  </si>
  <si>
    <t>State excise duty (Maharashtra), per dozen (INR)</t>
  </si>
  <si>
    <t>The above model is an example only, based on the information available on the market.</t>
  </si>
  <si>
    <r>
      <t xml:space="preserve">
Thailand Pricing Model: AUD FOB </t>
    </r>
    <r>
      <rPr>
        <sz val="16"/>
        <color theme="0"/>
        <rFont val="Wingdings"/>
        <charset val="2"/>
      </rPr>
      <t>è</t>
    </r>
    <r>
      <rPr>
        <sz val="16"/>
        <color theme="0"/>
        <rFont val="Avenir Black"/>
        <family val="2"/>
      </rPr>
      <t xml:space="preserve"> THB RRP</t>
    </r>
  </si>
  <si>
    <t>Insert AUD/THB exchange rate</t>
  </si>
  <si>
    <t>FOB price, per dozen (THB)</t>
  </si>
  <si>
    <t>Distributor's freight and insurance costs, per dozen (THB)</t>
  </si>
  <si>
    <t>CIF price, per dozen (THB)</t>
  </si>
  <si>
    <t>Import tariff (0%), per dozen (THB)</t>
  </si>
  <si>
    <t>Wholesale price, per dozen (THB)</t>
  </si>
  <si>
    <t>Wholesale price, per bottle (THB)</t>
  </si>
  <si>
    <t>The Thailand-Australia Free Trade Agreement (TAFTA) entered into force in January 2005. In 2016, Australia’s tariff rate fell to 0%.</t>
  </si>
  <si>
    <t>Excise tax on wine, per dozen (THB)</t>
  </si>
  <si>
    <t>Interior tax (10%), per dozen (THB)</t>
  </si>
  <si>
    <t>Health tax (2%), per dozen (THB)</t>
  </si>
  <si>
    <t>**See note</t>
  </si>
  <si>
    <t>VAT (Maharashtra), per bottle (INR)</t>
  </si>
  <si>
    <t>In Maharashtra, VAT is applied to 40% of CIF+duties.</t>
  </si>
  <si>
    <r>
      <t xml:space="preserve">
New Zealand Pricing Model: AUD FOB </t>
    </r>
    <r>
      <rPr>
        <sz val="16"/>
        <color theme="0"/>
        <rFont val="Wingdings"/>
        <charset val="2"/>
      </rPr>
      <t>è</t>
    </r>
    <r>
      <rPr>
        <sz val="16"/>
        <color theme="0"/>
        <rFont val="Avenir Black"/>
        <family val="2"/>
      </rPr>
      <t xml:space="preserve"> NZD RRP</t>
    </r>
  </si>
  <si>
    <t>Insert exchange rate (AUD/NZD)</t>
  </si>
  <si>
    <t>FOB price, per dozen (NZD)</t>
  </si>
  <si>
    <t>Excise tax, per dozen (NZD)</t>
  </si>
  <si>
    <t>Distributor landed cost, per dozen (NZD)</t>
  </si>
  <si>
    <t>Wholesale price, per dozen (NZD)</t>
  </si>
  <si>
    <t>Wholesale price, per bottle (NZD)</t>
  </si>
  <si>
    <t>Import duty, per dozen (NZD)</t>
  </si>
  <si>
    <t>GST of 15% applies on retail sale</t>
  </si>
  <si>
    <t>Health promotion agency levy, per dozen (NZD)</t>
  </si>
  <si>
    <t>Insert alcohol %</t>
  </si>
  <si>
    <t>**Under the Australia New Zealand Closer Economic Relations Trade Agreement (ANZCERTA), any product that has 50% or more Australian content can enter New Zealand duty free.</t>
  </si>
  <si>
    <t>Retail price, per bottle, before GST (NZD)</t>
  </si>
  <si>
    <t>Retail price, per bottle, after GST (NZD)</t>
  </si>
  <si>
    <t>Vend Fee (Maharashtra), per dozen (INR)</t>
  </si>
  <si>
    <t>Distributor landed cost, per dozen (THB)</t>
  </si>
  <si>
    <t>Distributor landed cost, per bottle (THB)</t>
  </si>
  <si>
    <t>VAT/Business tax (5%), per dozen (NTD)</t>
  </si>
  <si>
    <t>Distributor landed cost, per dozen (NTD)</t>
  </si>
  <si>
    <t>Distributor landed cost, per bottle NTD)</t>
  </si>
  <si>
    <t>Distributor's freight, insurance and in-bound transport, per dozen (NZD)</t>
  </si>
  <si>
    <t>An excise tax of $3.3241 per litre applies to all unfortified tables wines.</t>
  </si>
  <si>
    <t xml:space="preserve">The Health Promotion Agency (HPA) levy is 3.7291 cents per litre of alcohol, for all unfortified table wines. </t>
  </si>
  <si>
    <t>Retail price, per bottle, before VAT (THB)</t>
  </si>
  <si>
    <t>Retail price, per bottle, after VAT (THB)</t>
  </si>
  <si>
    <t xml:space="preserve">As of 1 October 2023, a reduced VAT of 7% has been extended to 30 September 2024, with the previous standard rate being 10%. </t>
  </si>
  <si>
    <t xml:space="preserve">** As of 23 February 2024, the excise tax applicable to grape-based wine is 1000 baht per litre of alcohol. Effective until 31 December 2024. </t>
  </si>
  <si>
    <t>Import tariff (0%), per dozen (CNY)</t>
  </si>
  <si>
    <t>ABV</t>
  </si>
  <si>
    <t xml:space="preserve">Duty rates from 01/02/2025 </t>
  </si>
  <si>
    <t>(in line with RPI)</t>
  </si>
  <si>
    <t>Alcohol duty, per bottle (GBP)</t>
  </si>
  <si>
    <t>Duty increased 1 February 2025 (see table to the right)</t>
  </si>
  <si>
    <r>
      <t xml:space="preserve">
Vietnam Pricing Model: AUD FOB </t>
    </r>
    <r>
      <rPr>
        <sz val="16"/>
        <color theme="0"/>
        <rFont val="Wingdings"/>
        <charset val="2"/>
      </rPr>
      <t>è</t>
    </r>
    <r>
      <rPr>
        <sz val="16"/>
        <color theme="0"/>
        <rFont val="Avenir Black"/>
        <family val="2"/>
      </rPr>
      <t xml:space="preserve"> VND RRP</t>
    </r>
  </si>
  <si>
    <t>Insert AUD/VND exchange rate</t>
  </si>
  <si>
    <t>**Important - please note this exchange rate does not update on its own - you must update to the most recent rate yourself.</t>
  </si>
  <si>
    <t>FOB price, per dozen (VND)</t>
  </si>
  <si>
    <t>Distributor's freight, insurance costs, customs fees per dozen (VND)</t>
  </si>
  <si>
    <t>CIF price, per dozen (VND)</t>
  </si>
  <si>
    <t>Import tariff (20%), per dozen (VND)</t>
  </si>
  <si>
    <t>Consumption tax on wine (35%), per dozen (VND)</t>
  </si>
  <si>
    <t>Distributor's landed cost before VAT, per dozen</t>
  </si>
  <si>
    <t>Distributor's landed cost after VAT, per dozen</t>
  </si>
  <si>
    <t>Distributor's landed cost, per bottle (VND)</t>
  </si>
  <si>
    <t>Wholesale price, per dozen (VND)</t>
  </si>
  <si>
    <t>Wholesale price, per bottle (VND)</t>
  </si>
  <si>
    <t>Retail price, per bottle (VND)</t>
  </si>
  <si>
    <t>Refer this site for exchange rates: https://www.ofx.com/en-au/forex-news/historical-exchange-rates/</t>
  </si>
  <si>
    <t>Import tariff as at 1 January 2025 - 20% under ASEAN-Australia-NZ FTA.</t>
  </si>
  <si>
    <t xml:space="preserve">Consumption tax of 35% (for wines below 20% ABV) and VAT of 10% applies. </t>
  </si>
  <si>
    <t>The above model is an example only, based on available research.</t>
  </si>
  <si>
    <t>GST of 9% is applied directly to the final retail price</t>
  </si>
  <si>
    <t>Liquor taxes per kilolitre for wine are 100,000 ¥/kl as at 1 October 2023.</t>
  </si>
  <si>
    <t>Import tariff (10%)</t>
  </si>
  <si>
    <t xml:space="preserve">Importer's freight, insurance, federal excise tax, customs fees and in-bound transport, per dozen (USD) </t>
  </si>
  <si>
    <t>10% import tariff on Australian goods announced 2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</si>
</sst>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8" formatCode="&quot;$&quot;#,##0.00;[Red]\-&quot;$&quot;#,##0.00"/>
    <numFmt numFmtId="43" formatCode="_-* #,##0.00_-;\-* #,##0.00_-;_-* &quot;-&quot;??_-;_-@_-"/>
    <numFmt numFmtId="164" formatCode="&quot;$&quot;#,##0_);\(&quot;$&quot;#,##0\)"/>
    <numFmt numFmtId="165" formatCode="&quot;$&quot;#,##0_);[Red]\(&quot;$&quot;#,##0\)"/>
    <numFmt numFmtId="166" formatCode="&quot;$&quot;#,##0.00_);\(&quot;$&quot;#,##0.00\)"/>
    <numFmt numFmtId="167" formatCode="&quot;$&quot;#,##0.00_);[Red]\(&quot;$&quot;#,##0.00\)"/>
    <numFmt numFmtId="168" formatCode="_(&quot;$&quot;* #,##0.00_);_(&quot;$&quot;* \(#,##0.00\);_(&quot;$&quot;* &quot;-&quot;??_);_(@_)"/>
    <numFmt numFmtId="169" formatCode="_(* #,##0.00_);_(* \(#,##0.00\);_(* &quot;-&quot;??_);_(@_)"/>
    <numFmt numFmtId="170" formatCode="&quot;$&quot;#,##0.00"/>
    <numFmt numFmtId="171" formatCode="_(* #,##0_);_(* \(#,##0\);_(* &quot;-&quot;??_);_(@_)"/>
    <numFmt numFmtId="172" formatCode="&quot;$&quot;#,##0"/>
    <numFmt numFmtId="173" formatCode="0.0%"/>
    <numFmt numFmtId="174" formatCode="General_)"/>
    <numFmt numFmtId="175" formatCode="[$HK$-3C09]#,##0"/>
    <numFmt numFmtId="176" formatCode="[$£-809]#,##0;\-[$£-809]#,##0"/>
    <numFmt numFmtId="177" formatCode="[$$-409]#,##0_);\([$$-409]#,##0\)"/>
    <numFmt numFmtId="178" formatCode="[$$-1009]#,##0;\-[$$-1009]#,##0"/>
    <numFmt numFmtId="179" formatCode="[$¥-804]#,##0;[$¥-804]\-#,##0"/>
    <numFmt numFmtId="180" formatCode="[$kr.-406]\ #,##0;[$kr.-406]\ \-#,##0"/>
    <numFmt numFmtId="181" formatCode="[$HK$-3C09]#,##0_);\([$HK$-3C09]#,##0\)"/>
    <numFmt numFmtId="182" formatCode="[$¥-411]#,##0;\-[$¥-411]#,##0"/>
    <numFmt numFmtId="183" formatCode="[$₩-412]#,##0;\-[$₩-412]#,##0"/>
    <numFmt numFmtId="184" formatCode="[$$-4809]#,##0_);\([$$-4809]#,##0\)"/>
    <numFmt numFmtId="185" formatCode="_-[$$-C09]* #,##0.00_-;\-[$$-C09]* #,##0.00_-;_-[$$-C09]* &quot;-&quot;??_-;_-@_-"/>
    <numFmt numFmtId="186" formatCode="_-[$£-809]* #,##0.00_-;\-[$£-809]* #,##0.00_-;_-[$£-809]* &quot;-&quot;??_-;_-@_-"/>
    <numFmt numFmtId="187" formatCode="_ [$¥-804]* #,##0.00_ ;_ [$¥-804]* \-#,##0.00_ ;_ [$¥-804]* &quot;-&quot;??_ ;_ @_ "/>
    <numFmt numFmtId="188" formatCode="_ [$kr.-406]\ * #,##0.00_ ;_ [$kr.-406]\ * \-#,##0.00_ ;_ [$kr.-406]\ * &quot;-&quot;??_ ;_ @_ "/>
    <numFmt numFmtId="189" formatCode="_([$HK$-3C09]* #,##0.00_);_([$HK$-3C09]* \(#,##0.00\);_([$HK$-3C09]* &quot;-&quot;??_);_(@_)"/>
    <numFmt numFmtId="190" formatCode="_-[$¥-411]* #,##0.00_-;\-[$¥-411]* #,##0.00_-;_-[$¥-411]* &quot;-&quot;??_-;_-@_-"/>
    <numFmt numFmtId="191" formatCode="_-[$₩-412]* #,##0.00_-;\-[$₩-412]* #,##0.00_-;_-[$₩-412]* &quot;-&quot;??_-;_-@_-"/>
    <numFmt numFmtId="192" formatCode="_([$$-4809]* #,##0.00_);_([$$-4809]* \(#,##0.00\);_([$$-4809]* &quot;-&quot;??_);_(@_)"/>
    <numFmt numFmtId="193" formatCode="[$¥-804]#,##0.00"/>
    <numFmt numFmtId="194" formatCode="[$£-809]#,##0.00"/>
    <numFmt numFmtId="195" formatCode="dd\-mmm\-yy_)"/>
    <numFmt numFmtId="196" formatCode="[$-409]mmmm\ d\,\ yyyy;@"/>
    <numFmt numFmtId="197" formatCode="0.00_)"/>
    <numFmt numFmtId="198" formatCode="0.000000_)"/>
    <numFmt numFmtId="199" formatCode="0.000_)"/>
    <numFmt numFmtId="200" formatCode="0.0000_)"/>
    <numFmt numFmtId="201" formatCode="0_)"/>
    <numFmt numFmtId="202" formatCode="[$$-1009]#,##0.00"/>
    <numFmt numFmtId="203" formatCode="00000"/>
    <numFmt numFmtId="204" formatCode="&quot;$&quot;#,##0.0000_);\(&quot;$&quot;#,##0.0000\)"/>
    <numFmt numFmtId="205" formatCode="#,##0.00;[Red]#,##0.00"/>
    <numFmt numFmtId="206" formatCode="_(&quot;$&quot;* #,##0.0000_);_(&quot;$&quot;* \(#,##0.0000\);_(&quot;$&quot;* &quot;-&quot;??_);_(@_)"/>
    <numFmt numFmtId="207" formatCode="0.0000%"/>
    <numFmt numFmtId="208" formatCode="0.000%"/>
    <numFmt numFmtId="209" formatCode="0.0000"/>
    <numFmt numFmtId="210" formatCode="#,##0.0000"/>
    <numFmt numFmtId="211" formatCode="hh:mm\ AM/PM_)"/>
    <numFmt numFmtId="212" formatCode="[$¥-804]#,##0.00;[Red][$¥-804]\-#,##0.00"/>
    <numFmt numFmtId="213" formatCode="0.0"/>
    <numFmt numFmtId="214" formatCode="0.00000"/>
    <numFmt numFmtId="215" formatCode="[$₩-412]#,##0.00"/>
    <numFmt numFmtId="216" formatCode="[$₹-4009]\ #,##0.00"/>
    <numFmt numFmtId="217" formatCode="_-[$€-2]\ * #,##0.00_-;\-[$€-2]\ * #,##0.00_-;_-[$€-2]\ * &quot;-&quot;??_-;_-@_-"/>
    <numFmt numFmtId="218" formatCode="_-* #,##0.00\ [$kr-41D]_-;\-* #,##0.00\ [$kr-41D]_-;_-* &quot;-&quot;??\ [$kr-41D]_-;_-@_-"/>
    <numFmt numFmtId="219" formatCode="_-* #,##0\ [$kr-41D]_-;\-* #,##0\ [$kr-41D]_-;_-* &quot;-&quot;??\ [$kr-41D]_-;_-@_-"/>
    <numFmt numFmtId="220" formatCode="_-[$NT$-404]* #,##0.00_-;\-[$NT$-404]* #,##0.00_-;_-[$NT$-404]* &quot;-&quot;??_-;_-@_-"/>
    <numFmt numFmtId="221" formatCode="[$฿-41E]#,##0.00"/>
    <numFmt numFmtId="222" formatCode="[$$-1409]#,##0.00"/>
    <numFmt numFmtId="223" formatCode="_-* #,##0\ [$₫-42A]_-;\-* #,##0\ [$₫-42A]_-;_-* &quot;-&quot;??\ [$₫-42A]_-;_-@_-"/>
  </numFmts>
  <fonts count="153">
    <font>
      <sz val="12"/>
      <color theme="1"/>
      <name val="Calibri"/>
      <family val="2"/>
      <scheme val="minor"/>
    </font>
    <font>
      <sz val="12"/>
      <color theme="1"/>
      <name val="Calibri"/>
      <family val="2"/>
      <scheme val="minor"/>
    </font>
    <font>
      <sz val="12"/>
      <color theme="1"/>
      <name val="Avenir Book"/>
      <family val="2"/>
    </font>
    <font>
      <sz val="12"/>
      <color theme="0"/>
      <name val="Avenir Book"/>
      <family val="2"/>
    </font>
    <font>
      <sz val="16"/>
      <color theme="0"/>
      <name val="Avenir Book"/>
      <family val="2"/>
    </font>
    <font>
      <sz val="16"/>
      <name val="Avenir Book"/>
      <family val="2"/>
    </font>
    <font>
      <sz val="16"/>
      <color theme="1"/>
      <name val="Avenir Book"/>
      <family val="2"/>
    </font>
    <font>
      <b/>
      <sz val="16"/>
      <name val="Avenir Book"/>
      <family val="2"/>
    </font>
    <font>
      <b/>
      <sz val="16"/>
      <color theme="1"/>
      <name val="Avenir Book"/>
      <family val="2"/>
    </font>
    <font>
      <b/>
      <sz val="16"/>
      <color theme="0"/>
      <name val="Avenir Book"/>
      <family val="2"/>
    </font>
    <font>
      <b/>
      <sz val="22"/>
      <color theme="0"/>
      <name val="Avenir Book"/>
      <family val="2"/>
    </font>
    <font>
      <sz val="12"/>
      <name val="Avenir Book"/>
      <family val="2"/>
    </font>
    <font>
      <i/>
      <sz val="12"/>
      <color theme="1"/>
      <name val="Avenir Book"/>
      <family val="2"/>
    </font>
    <font>
      <b/>
      <sz val="12"/>
      <color theme="1"/>
      <name val="Avenir Book"/>
      <family val="2"/>
    </font>
    <font>
      <b/>
      <sz val="12"/>
      <name val="Avenir Book"/>
      <family val="2"/>
    </font>
    <font>
      <u/>
      <sz val="12"/>
      <color theme="10"/>
      <name val="Calibri"/>
      <family val="2"/>
      <scheme val="minor"/>
    </font>
    <font>
      <sz val="16"/>
      <color theme="1"/>
      <name val="Avenir Black"/>
      <family val="2"/>
    </font>
    <font>
      <sz val="12"/>
      <color rgb="FF000000"/>
      <name val="Avenir Book"/>
      <family val="2"/>
    </font>
    <font>
      <sz val="12"/>
      <color rgb="FF9C0006"/>
      <name val="Calibri"/>
      <family val="2"/>
      <scheme val="minor"/>
    </font>
    <font>
      <sz val="12"/>
      <color theme="1"/>
      <name val="Avenir Black"/>
      <family val="2"/>
    </font>
    <font>
      <sz val="12"/>
      <color theme="1"/>
      <name val="Avenir Heavy"/>
      <family val="2"/>
    </font>
    <font>
      <sz val="12"/>
      <name val="Calibri"/>
      <family val="2"/>
      <scheme val="minor"/>
    </font>
    <font>
      <sz val="16"/>
      <color theme="0"/>
      <name val="Avenir Black"/>
      <family val="2"/>
    </font>
    <font>
      <sz val="16"/>
      <color theme="1"/>
      <name val="Avenir Heavy"/>
      <family val="2"/>
    </font>
    <font>
      <sz val="16"/>
      <color rgb="FF000000"/>
      <name val="Avenir Book"/>
      <family val="2"/>
    </font>
    <font>
      <sz val="16"/>
      <name val="Avenir Black"/>
      <family val="2"/>
    </font>
    <font>
      <sz val="16"/>
      <name val="Avenir Heavy"/>
      <family val="2"/>
    </font>
    <font>
      <sz val="22"/>
      <color theme="1"/>
      <name val="Avenir Heavy"/>
      <family val="2"/>
    </font>
    <font>
      <b/>
      <sz val="22"/>
      <color theme="1"/>
      <name val="Avenir Heavy"/>
      <family val="2"/>
    </font>
    <font>
      <sz val="22"/>
      <color theme="0"/>
      <name val="Avenir Black"/>
      <family val="2"/>
    </font>
    <font>
      <b/>
      <sz val="22"/>
      <color theme="0"/>
      <name val="Avenir Black"/>
      <family val="2"/>
    </font>
    <font>
      <sz val="16"/>
      <color rgb="FFE06648"/>
      <name val="Avenir Book"/>
      <family val="2"/>
    </font>
    <font>
      <u/>
      <sz val="16"/>
      <color theme="10"/>
      <name val="Avenir Book"/>
      <family val="2"/>
    </font>
    <font>
      <sz val="10"/>
      <name val="Arial"/>
      <family val="2"/>
    </font>
    <font>
      <sz val="16"/>
      <color theme="0" tint="-0.14999847407452621"/>
      <name val="Avenir Book"/>
      <family val="2"/>
    </font>
    <font>
      <u/>
      <sz val="12"/>
      <color theme="10"/>
      <name val="Avenir Book"/>
      <family val="2"/>
    </font>
    <font>
      <sz val="16"/>
      <color rgb="FF9C0006"/>
      <name val="Avenir Book"/>
      <family val="2"/>
    </font>
    <font>
      <sz val="16"/>
      <color rgb="FFE06648"/>
      <name val="Avenir Heavy"/>
      <family val="2"/>
    </font>
    <font>
      <sz val="12"/>
      <name val="Helv"/>
    </font>
    <font>
      <b/>
      <sz val="16"/>
      <color theme="1"/>
      <name val="Avenir Black"/>
      <family val="2"/>
    </font>
    <font>
      <sz val="22"/>
      <color theme="1"/>
      <name val="Avenir Black"/>
      <family val="2"/>
    </font>
    <font>
      <sz val="16"/>
      <color rgb="FFC1DA8C"/>
      <name val="Avenir Heavy"/>
      <family val="2"/>
    </font>
    <font>
      <sz val="16"/>
      <color theme="1"/>
      <name val="Avenir Light"/>
      <family val="2"/>
    </font>
    <font>
      <u/>
      <sz val="12"/>
      <color theme="10"/>
      <name val="Avenir Light"/>
      <family val="2"/>
    </font>
    <font>
      <sz val="12"/>
      <color theme="1"/>
      <name val="Avenir Light"/>
      <family val="2"/>
    </font>
    <font>
      <sz val="12"/>
      <color rgb="FF000000"/>
      <name val="Avenir Light"/>
      <family val="2"/>
    </font>
    <font>
      <b/>
      <sz val="12"/>
      <color rgb="FF000000"/>
      <name val="Avenir Light"/>
      <family val="2"/>
    </font>
    <font>
      <sz val="18"/>
      <color theme="1"/>
      <name val="Avenir Light"/>
      <family val="2"/>
    </font>
    <font>
      <sz val="18"/>
      <color theme="0"/>
      <name val="Avenir Light"/>
      <family val="2"/>
    </font>
    <font>
      <sz val="20"/>
      <color theme="1"/>
      <name val="Avenir Book"/>
      <family val="1"/>
    </font>
    <font>
      <sz val="20"/>
      <color theme="0"/>
      <name val="Avenir Black"/>
      <family val="1"/>
    </font>
    <font>
      <i/>
      <sz val="16"/>
      <color theme="1"/>
      <name val="Avenir Book"/>
      <family val="2"/>
    </font>
    <font>
      <sz val="24"/>
      <color theme="1"/>
      <name val="Avenir Black"/>
      <family val="2"/>
    </font>
    <font>
      <sz val="16"/>
      <color rgb="FFE06648"/>
      <name val="Avenir Book"/>
      <family val="1"/>
    </font>
    <font>
      <sz val="16"/>
      <color rgb="FFE06648"/>
      <name val="Avenir Heavy"/>
      <family val="1"/>
    </font>
    <font>
      <sz val="12"/>
      <color rgb="FF006100"/>
      <name val="Calibri"/>
      <family val="2"/>
      <scheme val="minor"/>
    </font>
    <font>
      <sz val="12"/>
      <color rgb="FF9C5700"/>
      <name val="Calibri"/>
      <family val="2"/>
      <scheme val="minor"/>
    </font>
    <font>
      <sz val="16"/>
      <color rgb="FF006100"/>
      <name val="Avenir Book"/>
      <family val="2"/>
    </font>
    <font>
      <sz val="28"/>
      <color theme="0"/>
      <name val="GT Walsheim Medium"/>
    </font>
    <font>
      <sz val="16"/>
      <color rgb="FF9C5700"/>
      <name val="Avenir Book"/>
      <family val="2"/>
    </font>
    <font>
      <sz val="16"/>
      <color theme="5" tint="-0.499984740745262"/>
      <name val="Avenir Book"/>
      <family val="2"/>
    </font>
    <font>
      <sz val="16"/>
      <color theme="2" tint="-0.499984740745262"/>
      <name val="Avenir Book"/>
      <family val="2"/>
    </font>
    <font>
      <sz val="16"/>
      <color theme="1"/>
      <name val="Calibri"/>
      <family val="2"/>
      <scheme val="minor"/>
    </font>
    <font>
      <sz val="18"/>
      <color theme="0"/>
      <name val="Avenir Book"/>
      <family val="2"/>
    </font>
    <font>
      <sz val="8"/>
      <color theme="1"/>
      <name val="Avenir Book"/>
      <family val="2"/>
    </font>
    <font>
      <sz val="12"/>
      <color rgb="FFFF0000"/>
      <name val="Avenir Book"/>
      <family val="2"/>
    </font>
    <font>
      <sz val="16"/>
      <color theme="0"/>
      <name val="Wingdings"/>
      <charset val="2"/>
    </font>
    <font>
      <sz val="16"/>
      <color rgb="FFDE684A"/>
      <name val="Avenir Book"/>
      <family val="2"/>
      <charset val="2"/>
    </font>
    <font>
      <sz val="16"/>
      <color rgb="FFDE684A"/>
      <name val="Wingdings"/>
      <charset val="2"/>
    </font>
    <font>
      <sz val="16"/>
      <color rgb="FFDE684A"/>
      <name val="Avenir Book"/>
      <family val="2"/>
    </font>
    <font>
      <sz val="16"/>
      <color rgb="FF3E001F"/>
      <name val="Avenir Book"/>
      <family val="2"/>
    </font>
    <font>
      <sz val="16"/>
      <color rgb="FF680034"/>
      <name val="Avenir Book"/>
      <family val="2"/>
    </font>
    <font>
      <b/>
      <i/>
      <sz val="16"/>
      <name val="Avenir Book"/>
      <family val="2"/>
    </font>
    <font>
      <u/>
      <sz val="16"/>
      <name val="Avenir Heavy"/>
      <family val="2"/>
    </font>
    <font>
      <sz val="16"/>
      <color rgb="FFD56F43"/>
      <name val="Avenir Book"/>
      <family val="2"/>
      <charset val="2"/>
    </font>
    <font>
      <sz val="16"/>
      <color rgb="FFD56F43"/>
      <name val="Wingdings"/>
      <charset val="2"/>
    </font>
    <font>
      <sz val="16"/>
      <color rgb="FFD56F43"/>
      <name val="Avenir Book"/>
      <family val="2"/>
    </font>
    <font>
      <i/>
      <sz val="16"/>
      <name val="Avenir Book"/>
      <family val="2"/>
    </font>
    <font>
      <b/>
      <u/>
      <sz val="16"/>
      <name val="Avenir Book"/>
      <family val="2"/>
    </font>
    <font>
      <sz val="11"/>
      <name val="Calibri"/>
      <family val="2"/>
      <scheme val="minor"/>
    </font>
    <font>
      <b/>
      <sz val="11"/>
      <name val="Calibri"/>
      <family val="2"/>
      <scheme val="minor"/>
    </font>
    <font>
      <b/>
      <sz val="11"/>
      <color rgb="FFC00000"/>
      <name val="Calibri"/>
      <family val="2"/>
      <scheme val="minor"/>
    </font>
    <font>
      <sz val="11"/>
      <color rgb="FFC00000"/>
      <name val="Calibri"/>
      <family val="2"/>
      <scheme val="minor"/>
    </font>
    <font>
      <b/>
      <i/>
      <sz val="11"/>
      <color rgb="FFC00000"/>
      <name val="Calibri"/>
      <family val="2"/>
      <scheme val="minor"/>
    </font>
    <font>
      <sz val="11"/>
      <color rgb="FFFF0000"/>
      <name val="Calibri"/>
      <family val="2"/>
      <scheme val="minor"/>
    </font>
    <font>
      <b/>
      <u/>
      <sz val="11"/>
      <name val="Calibri"/>
      <family val="2"/>
      <scheme val="minor"/>
    </font>
    <font>
      <u/>
      <sz val="11"/>
      <name val="Calibri"/>
      <family val="2"/>
      <scheme val="minor"/>
    </font>
    <font>
      <b/>
      <sz val="11"/>
      <color indexed="20"/>
      <name val="Calibri"/>
      <family val="2"/>
      <scheme val="minor"/>
    </font>
    <font>
      <b/>
      <i/>
      <sz val="11"/>
      <name val="Calibri"/>
      <family val="2"/>
      <scheme val="minor"/>
    </font>
    <font>
      <sz val="11"/>
      <color theme="0"/>
      <name val="Calibri"/>
      <family val="2"/>
      <scheme val="minor"/>
    </font>
    <font>
      <sz val="11"/>
      <color indexed="20"/>
      <name val="Calibri"/>
      <family val="2"/>
      <scheme val="minor"/>
    </font>
    <font>
      <sz val="11"/>
      <name val="Calibri"/>
      <family val="2"/>
    </font>
    <font>
      <b/>
      <sz val="12"/>
      <name val="Helv"/>
    </font>
    <font>
      <b/>
      <sz val="12"/>
      <name val="Calibri"/>
      <family val="2"/>
      <scheme val="minor"/>
    </font>
    <font>
      <sz val="16"/>
      <color theme="1"/>
      <name val="Arial"/>
      <family val="2"/>
    </font>
    <font>
      <b/>
      <sz val="16"/>
      <color theme="1"/>
      <name val="Arial"/>
      <family val="2"/>
    </font>
    <font>
      <b/>
      <sz val="16"/>
      <color rgb="FFFFFFFF"/>
      <name val="Arial"/>
      <family val="2"/>
    </font>
    <font>
      <b/>
      <sz val="18"/>
      <color theme="1"/>
      <name val="Arial"/>
      <family val="2"/>
    </font>
    <font>
      <sz val="18"/>
      <color theme="1"/>
      <name val="Arial"/>
      <family val="2"/>
    </font>
    <font>
      <b/>
      <sz val="24"/>
      <color theme="1"/>
      <name val="Arial"/>
      <family val="2"/>
    </font>
    <font>
      <sz val="24"/>
      <color theme="1"/>
      <name val="Arial"/>
      <family val="2"/>
    </font>
    <font>
      <u/>
      <sz val="22"/>
      <color theme="10"/>
      <name val="Arial"/>
      <family val="2"/>
    </font>
    <font>
      <sz val="16"/>
      <color theme="0" tint="-0.34998626667073579"/>
      <name val="Avenir Book"/>
      <family val="2"/>
    </font>
    <font>
      <b/>
      <sz val="48"/>
      <color theme="1"/>
      <name val="Arial"/>
      <family val="2"/>
    </font>
    <font>
      <sz val="36"/>
      <color theme="1"/>
      <name val="GT Walsheim Medium"/>
    </font>
    <font>
      <b/>
      <sz val="48"/>
      <color rgb="FFE06648"/>
      <name val="Arial"/>
      <family val="2"/>
    </font>
    <font>
      <i/>
      <sz val="12"/>
      <name val="Arial"/>
      <family val="2"/>
    </font>
    <font>
      <i/>
      <sz val="12"/>
      <name val="Avenir Book"/>
      <family val="2"/>
    </font>
    <font>
      <b/>
      <sz val="10.8"/>
      <color theme="1"/>
      <name val="Arial"/>
      <family val="2"/>
    </font>
    <font>
      <sz val="10.8"/>
      <color theme="1"/>
      <name val="Arial"/>
      <family val="2"/>
    </font>
    <font>
      <sz val="12"/>
      <color theme="1"/>
      <name val="Arial"/>
      <family val="2"/>
    </font>
    <font>
      <b/>
      <sz val="26"/>
      <name val="Arial"/>
      <family val="2"/>
    </font>
    <font>
      <b/>
      <sz val="10"/>
      <name val="Arial"/>
      <family val="2"/>
    </font>
    <font>
      <sz val="10"/>
      <color indexed="10"/>
      <name val="Arial"/>
      <family val="2"/>
    </font>
    <font>
      <sz val="10"/>
      <color indexed="9"/>
      <name val="Arial"/>
      <family val="2"/>
    </font>
    <font>
      <sz val="8"/>
      <name val="Arial"/>
      <family val="2"/>
    </font>
    <font>
      <sz val="12"/>
      <name val="Avenir Book"/>
    </font>
    <font>
      <sz val="16"/>
      <name val="Avenir Book"/>
    </font>
    <font>
      <sz val="16"/>
      <color theme="1"/>
      <name val="Avenir Book"/>
    </font>
    <font>
      <sz val="9"/>
      <color theme="1"/>
      <name val="GT Walsheim Office"/>
    </font>
    <font>
      <b/>
      <sz val="9"/>
      <color rgb="FFFFFFFF"/>
      <name val="GT Walsheim Office"/>
    </font>
    <font>
      <sz val="9"/>
      <color rgb="FF008466"/>
      <name val="GT Walsheim Office"/>
    </font>
    <font>
      <sz val="9"/>
      <name val="GT Walsheim Office"/>
    </font>
    <font>
      <b/>
      <sz val="16"/>
      <name val="Avenir Book"/>
    </font>
    <font>
      <sz val="14"/>
      <name val="Avenir Book"/>
      <family val="2"/>
    </font>
    <font>
      <b/>
      <sz val="11"/>
      <name val="Calibri Light"/>
      <family val="1"/>
      <scheme val="major"/>
    </font>
    <font>
      <i/>
      <u/>
      <sz val="11"/>
      <name val="Calibri"/>
      <family val="2"/>
      <scheme val="minor"/>
    </font>
    <font>
      <b/>
      <sz val="16"/>
      <name val="Calibri"/>
      <family val="2"/>
      <scheme val="minor"/>
    </font>
    <font>
      <b/>
      <sz val="10"/>
      <name val="Calibri"/>
      <family val="2"/>
      <scheme val="minor"/>
    </font>
    <font>
      <b/>
      <sz val="10"/>
      <name val="Arial MT"/>
    </font>
    <font>
      <b/>
      <sz val="10"/>
      <color theme="0"/>
      <name val="Arial MT"/>
    </font>
    <font>
      <sz val="10"/>
      <name val="Calibri"/>
      <family val="2"/>
      <scheme val="minor"/>
    </font>
    <font>
      <sz val="9"/>
      <color indexed="81"/>
      <name val="Tahoma"/>
      <family val="2"/>
    </font>
    <font>
      <b/>
      <sz val="14"/>
      <name val="Arial MT"/>
    </font>
    <font>
      <b/>
      <sz val="11"/>
      <name val="Arial MT"/>
    </font>
    <font>
      <u/>
      <sz val="10"/>
      <color theme="10"/>
      <name val="Arial MT"/>
    </font>
    <font>
      <u/>
      <sz val="11"/>
      <color theme="10"/>
      <name val="Arial MT"/>
    </font>
    <font>
      <b/>
      <sz val="14"/>
      <name val="Arial"/>
      <family val="2"/>
    </font>
    <font>
      <b/>
      <sz val="11"/>
      <name val="Arial"/>
      <family val="2"/>
    </font>
    <font>
      <b/>
      <sz val="12"/>
      <color rgb="FF000000"/>
      <name val="Arial"/>
      <family val="2"/>
    </font>
    <font>
      <sz val="11"/>
      <color theme="1"/>
      <name val="Arial"/>
      <family val="2"/>
    </font>
    <font>
      <sz val="10"/>
      <color theme="1"/>
      <name val="Times New Roman"/>
      <family val="1"/>
    </font>
    <font>
      <i/>
      <sz val="11"/>
      <color theme="1"/>
      <name val="Arial"/>
      <family val="2"/>
    </font>
    <font>
      <u/>
      <sz val="10"/>
      <color theme="10"/>
      <name val="Arial"/>
      <family val="2"/>
    </font>
    <font>
      <b/>
      <sz val="9"/>
      <color indexed="81"/>
      <name val="Tahoma"/>
      <family val="2"/>
    </font>
    <font>
      <sz val="12"/>
      <name val="Calibri"/>
      <family val="2"/>
    </font>
    <font>
      <b/>
      <sz val="16"/>
      <color theme="1"/>
      <name val="Avenir Heavy"/>
    </font>
    <font>
      <b/>
      <sz val="16"/>
      <color theme="1"/>
      <name val="Avenir Book"/>
    </font>
    <font>
      <b/>
      <sz val="16"/>
      <name val="Avenir Heavy"/>
    </font>
    <font>
      <b/>
      <sz val="16"/>
      <color theme="1"/>
      <name val="Avenir Heavy"/>
      <family val="2"/>
    </font>
    <font>
      <sz val="16"/>
      <color theme="1"/>
      <name val="Avenir Heavy"/>
    </font>
    <font>
      <b/>
      <sz val="12"/>
      <color theme="1"/>
      <name val="Calibri"/>
      <family val="2"/>
      <scheme val="minor"/>
    </font>
    <font>
      <sz val="16"/>
      <color rgb="FFFF0000"/>
      <name val="Avenir Book"/>
      <family val="2"/>
    </font>
  </fonts>
  <fills count="39">
    <fill>
      <patternFill patternType="none"/>
    </fill>
    <fill>
      <patternFill patternType="gray125"/>
    </fill>
    <fill>
      <patternFill patternType="solid">
        <fgColor theme="0"/>
        <bgColor indexed="64"/>
      </patternFill>
    </fill>
    <fill>
      <patternFill patternType="solid">
        <fgColor rgb="FFE16743"/>
        <bgColor indexed="64"/>
      </patternFill>
    </fill>
    <fill>
      <patternFill patternType="solid">
        <fgColor rgb="FFE06648"/>
        <bgColor indexed="64"/>
      </patternFill>
    </fill>
    <fill>
      <patternFill patternType="solid">
        <fgColor rgb="FFFFC7CE"/>
      </patternFill>
    </fill>
    <fill>
      <patternFill patternType="solid">
        <fgColor rgb="FFFFFFFF"/>
        <bgColor rgb="FF000000"/>
      </patternFill>
    </fill>
    <fill>
      <patternFill patternType="solid">
        <fgColor rgb="FFC1DA8C"/>
        <bgColor indexed="64"/>
      </patternFill>
    </fill>
    <fill>
      <patternFill patternType="solid">
        <fgColor rgb="FFC6EFCE"/>
      </patternFill>
    </fill>
    <fill>
      <patternFill patternType="solid">
        <fgColor rgb="FFFFEB9C"/>
      </patternFill>
    </fill>
    <fill>
      <patternFill patternType="solid">
        <fgColor theme="1"/>
        <bgColor indexed="64"/>
      </patternFill>
    </fill>
    <fill>
      <patternFill patternType="solid">
        <fgColor rgb="FFE06844"/>
        <bgColor indexed="64"/>
      </patternFill>
    </fill>
    <fill>
      <patternFill patternType="solid">
        <fgColor theme="5" tint="0.39994506668294322"/>
        <bgColor indexed="64"/>
      </patternFill>
    </fill>
    <fill>
      <patternFill patternType="solid">
        <fgColor rgb="FFDDEBF6"/>
        <bgColor indexed="64"/>
      </patternFill>
    </fill>
    <fill>
      <patternFill patternType="solid">
        <fgColor theme="8" tint="0.79998168889431442"/>
        <bgColor indexed="64"/>
      </patternFill>
    </fill>
    <fill>
      <patternFill patternType="solid">
        <fgColor rgb="FF92D050"/>
        <bgColor indexed="64"/>
      </patternFill>
    </fill>
    <fill>
      <patternFill patternType="solid">
        <fgColor rgb="FFE2683E"/>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E46836"/>
        <bgColor indexed="64"/>
      </patternFill>
    </fill>
    <fill>
      <patternFill patternType="solid">
        <fgColor rgb="FFC4D64B"/>
        <bgColor indexed="64"/>
      </patternFill>
    </fill>
    <fill>
      <patternFill patternType="solid">
        <fgColor rgb="FFF8F8F8"/>
        <bgColor indexed="64"/>
      </patternFill>
    </fill>
    <fill>
      <patternFill patternType="solid">
        <fgColor indexed="22"/>
        <bgColor indexed="64"/>
      </patternFill>
    </fill>
    <fill>
      <patternFill patternType="solid">
        <fgColor rgb="FF008466"/>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002060"/>
        <bgColor indexed="64"/>
      </patternFill>
    </fill>
  </fills>
  <borders count="190">
    <border>
      <left/>
      <right/>
      <top/>
      <bottom/>
      <diagonal/>
    </border>
    <border>
      <left/>
      <right/>
      <top style="thin">
        <color rgb="FFDF6749"/>
      </top>
      <bottom style="thin">
        <color rgb="FFDF6749"/>
      </bottom>
      <diagonal/>
    </border>
    <border>
      <left/>
      <right/>
      <top/>
      <bottom style="thin">
        <color rgb="FFE06844"/>
      </bottom>
      <diagonal/>
    </border>
    <border>
      <left/>
      <right/>
      <top/>
      <bottom style="thin">
        <color rgb="FFDF6749"/>
      </bottom>
      <diagonal/>
    </border>
    <border>
      <left style="thin">
        <color rgb="FFE06648"/>
      </left>
      <right style="thin">
        <color rgb="FFE06648"/>
      </right>
      <top style="thin">
        <color rgb="FFE06648"/>
      </top>
      <bottom style="thin">
        <color rgb="FFE06648"/>
      </bottom>
      <diagonal/>
    </border>
    <border>
      <left/>
      <right/>
      <top style="thin">
        <color indexed="64"/>
      </top>
      <bottom style="double">
        <color indexed="64"/>
      </bottom>
      <diagonal/>
    </border>
    <border>
      <left/>
      <right/>
      <top style="thin">
        <color indexed="64"/>
      </top>
      <bottom style="thin">
        <color indexed="64"/>
      </bottom>
      <diagonal/>
    </border>
    <border>
      <left style="medium">
        <color indexed="64"/>
      </left>
      <right style="thin">
        <color rgb="FFE06648"/>
      </right>
      <top style="thin">
        <color rgb="FFE06648"/>
      </top>
      <bottom style="thin">
        <color rgb="FFE06648"/>
      </bottom>
      <diagonal/>
    </border>
    <border>
      <left style="medium">
        <color indexed="64"/>
      </left>
      <right style="thin">
        <color rgb="FFE06648"/>
      </right>
      <top style="thin">
        <color rgb="FFE06648"/>
      </top>
      <bottom style="medium">
        <color indexed="64"/>
      </bottom>
      <diagonal/>
    </border>
    <border>
      <left style="thin">
        <color rgb="FFE06648"/>
      </left>
      <right style="thin">
        <color rgb="FFE06648"/>
      </right>
      <top style="thin">
        <color rgb="FFE06648"/>
      </top>
      <bottom style="medium">
        <color indexed="64"/>
      </bottom>
      <diagonal/>
    </border>
    <border>
      <left/>
      <right style="medium">
        <color indexed="64"/>
      </right>
      <top/>
      <bottom style="medium">
        <color indexed="64"/>
      </bottom>
      <diagonal/>
    </border>
    <border>
      <left style="thin">
        <color rgb="FFC1DA8C"/>
      </left>
      <right style="thin">
        <color rgb="FFC1DA8C"/>
      </right>
      <top style="thin">
        <color rgb="FFC1DA8C"/>
      </top>
      <bottom style="thin">
        <color rgb="FFC1DA8C"/>
      </bottom>
      <diagonal/>
    </border>
    <border>
      <left/>
      <right style="thin">
        <color rgb="FFC1DA8C"/>
      </right>
      <top style="thin">
        <color rgb="FFC1DA8C"/>
      </top>
      <bottom style="thin">
        <color rgb="FFC1DA8C"/>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rgb="FFE06648"/>
      </top>
      <bottom style="thin">
        <color rgb="FFE06648"/>
      </bottom>
      <diagonal/>
    </border>
    <border>
      <left/>
      <right/>
      <top style="thin">
        <color rgb="FFE06648"/>
      </top>
      <bottom style="medium">
        <color indexed="64"/>
      </bottom>
      <diagonal/>
    </border>
    <border>
      <left style="thin">
        <color rgb="FFE06648"/>
      </left>
      <right style="thin">
        <color rgb="FFE06648"/>
      </right>
      <top/>
      <bottom/>
      <diagonal/>
    </border>
    <border>
      <left style="thin">
        <color rgb="FFE06648"/>
      </left>
      <right style="thin">
        <color rgb="FFE06648"/>
      </right>
      <top/>
      <bottom style="thin">
        <color rgb="FFE06648"/>
      </bottom>
      <diagonal/>
    </border>
    <border>
      <left style="thin">
        <color rgb="FFC1DA8C"/>
      </left>
      <right style="thin">
        <color rgb="FFC1DA8C"/>
      </right>
      <top style="medium">
        <color indexed="64"/>
      </top>
      <bottom style="thin">
        <color rgb="FFC1DA8C"/>
      </bottom>
      <diagonal/>
    </border>
    <border>
      <left/>
      <right/>
      <top style="thin">
        <color indexed="64"/>
      </top>
      <bottom/>
      <diagonal/>
    </border>
    <border>
      <left/>
      <right/>
      <top/>
      <bottom style="thin">
        <color auto="1"/>
      </bottom>
      <diagonal/>
    </border>
    <border>
      <left/>
      <right style="medium">
        <color indexed="64"/>
      </right>
      <top style="thin">
        <color rgb="FFC1DA8C"/>
      </top>
      <bottom style="thin">
        <color rgb="FFC1DA8C"/>
      </bottom>
      <diagonal/>
    </border>
    <border>
      <left style="thin">
        <color rgb="FFC1DA8C"/>
      </left>
      <right style="thin">
        <color rgb="FFC1DA8C"/>
      </right>
      <top style="thin">
        <color rgb="FFC1DA8C"/>
      </top>
      <bottom style="medium">
        <color indexed="64"/>
      </bottom>
      <diagonal/>
    </border>
    <border>
      <left style="medium">
        <color theme="1"/>
      </left>
      <right style="medium">
        <color indexed="64"/>
      </right>
      <top style="medium">
        <color theme="1"/>
      </top>
      <bottom style="medium">
        <color theme="1"/>
      </bottom>
      <diagonal/>
    </border>
    <border>
      <left/>
      <right/>
      <top style="medium">
        <color theme="1"/>
      </top>
      <bottom style="medium">
        <color theme="1"/>
      </bottom>
      <diagonal/>
    </border>
    <border>
      <left style="medium">
        <color rgb="FFC1DA8C"/>
      </left>
      <right style="medium">
        <color theme="1"/>
      </right>
      <top style="medium">
        <color theme="1"/>
      </top>
      <bottom style="medium">
        <color theme="1"/>
      </bottom>
      <diagonal/>
    </border>
    <border>
      <left style="medium">
        <color theme="1"/>
      </left>
      <right style="thin">
        <color rgb="FFE06648"/>
      </right>
      <top/>
      <bottom style="thin">
        <color rgb="FFE06648"/>
      </bottom>
      <diagonal/>
    </border>
    <border>
      <left style="thin">
        <color rgb="FFE06648"/>
      </left>
      <right style="medium">
        <color theme="1"/>
      </right>
      <top/>
      <bottom style="thin">
        <color rgb="FFE06648"/>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rgb="FFE06648"/>
      </right>
      <top style="thin">
        <color rgb="FFE06648"/>
      </top>
      <bottom style="thin">
        <color rgb="FFE06648"/>
      </bottom>
      <diagonal/>
    </border>
    <border>
      <left style="thin">
        <color rgb="FFE06648"/>
      </left>
      <right style="medium">
        <color theme="1"/>
      </right>
      <top style="thin">
        <color rgb="FFE06648"/>
      </top>
      <bottom style="thin">
        <color rgb="FFE06648"/>
      </bottom>
      <diagonal/>
    </border>
    <border>
      <left style="medium">
        <color theme="1"/>
      </left>
      <right style="thin">
        <color rgb="FFE06648"/>
      </right>
      <top style="thin">
        <color rgb="FFE06648"/>
      </top>
      <bottom style="medium">
        <color theme="1"/>
      </bottom>
      <diagonal/>
    </border>
    <border>
      <left style="thin">
        <color rgb="FFE06648"/>
      </left>
      <right style="thin">
        <color rgb="FFE06648"/>
      </right>
      <top style="thin">
        <color rgb="FFE06648"/>
      </top>
      <bottom style="medium">
        <color theme="1"/>
      </bottom>
      <diagonal/>
    </border>
    <border>
      <left style="thin">
        <color rgb="FFE06648"/>
      </left>
      <right style="medium">
        <color theme="1"/>
      </right>
      <top style="thin">
        <color rgb="FFE06648"/>
      </top>
      <bottom style="medium">
        <color theme="1"/>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style="thin">
        <color rgb="FFE06648"/>
      </right>
      <top style="medium">
        <color theme="1"/>
      </top>
      <bottom style="thin">
        <color rgb="FFE06648"/>
      </bottom>
      <diagonal/>
    </border>
    <border>
      <left style="thin">
        <color rgb="FFE06648"/>
      </left>
      <right style="thin">
        <color rgb="FFE06648"/>
      </right>
      <top style="medium">
        <color theme="1"/>
      </top>
      <bottom style="thin">
        <color rgb="FFE06648"/>
      </bottom>
      <diagonal/>
    </border>
    <border>
      <left style="thin">
        <color rgb="FFE06648"/>
      </left>
      <right style="medium">
        <color theme="1"/>
      </right>
      <top style="medium">
        <color theme="1"/>
      </top>
      <bottom style="thin">
        <color rgb="FFE06648"/>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theme="1"/>
      </right>
      <top style="thin">
        <color rgb="FFE06648"/>
      </top>
      <bottom/>
      <diagonal/>
    </border>
    <border>
      <left style="thin">
        <color rgb="FFE06648"/>
      </left>
      <right style="thin">
        <color rgb="FFE06648"/>
      </right>
      <top style="thin">
        <color rgb="FFE06648"/>
      </top>
      <bottom/>
      <diagonal/>
    </border>
    <border>
      <left style="thin">
        <color rgb="FFE06648"/>
      </left>
      <right style="thin">
        <color rgb="FFE06648"/>
      </right>
      <top/>
      <bottom style="medium">
        <color theme="1"/>
      </bottom>
      <diagonal/>
    </border>
    <border>
      <left/>
      <right/>
      <top style="medium">
        <color indexed="64"/>
      </top>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medium">
        <color indexed="64"/>
      </top>
      <bottom style="thin">
        <color rgb="FFC1DA8C"/>
      </bottom>
      <diagonal/>
    </border>
    <border>
      <left/>
      <right/>
      <top style="medium">
        <color indexed="64"/>
      </top>
      <bottom style="thin">
        <color rgb="FFC1DA8C"/>
      </bottom>
      <diagonal/>
    </border>
    <border>
      <left style="medium">
        <color indexed="64"/>
      </left>
      <right/>
      <top style="thin">
        <color rgb="FFC1DA8C"/>
      </top>
      <bottom style="thin">
        <color rgb="FFC1DA8C"/>
      </bottom>
      <diagonal/>
    </border>
    <border>
      <left style="medium">
        <color indexed="64"/>
      </left>
      <right/>
      <top style="thin">
        <color rgb="FFC1DA8C"/>
      </top>
      <bottom style="medium">
        <color indexed="64"/>
      </bottom>
      <diagonal/>
    </border>
    <border>
      <left/>
      <right style="thin">
        <color rgb="FFC1DA8C"/>
      </right>
      <top style="thin">
        <color rgb="FFC1DA8C"/>
      </top>
      <bottom style="medium">
        <color indexed="64"/>
      </bottom>
      <diagonal/>
    </border>
    <border>
      <left style="thin">
        <color rgb="FFC1DA8C"/>
      </left>
      <right style="thin">
        <color rgb="FFC1DA8C"/>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rgb="FFD56F43"/>
      </top>
      <bottom/>
      <diagonal/>
    </border>
    <border>
      <left/>
      <right/>
      <top style="medium">
        <color rgb="FFE46836"/>
      </top>
      <bottom style="medium">
        <color rgb="FFE46836"/>
      </bottom>
      <diagonal/>
    </border>
    <border>
      <left/>
      <right/>
      <top style="medium">
        <color rgb="FFD56F43"/>
      </top>
      <bottom style="medium">
        <color rgb="FFD56F43"/>
      </bottom>
      <diagonal/>
    </border>
    <border>
      <left/>
      <right/>
      <top style="medium">
        <color rgb="FFE46836"/>
      </top>
      <bottom/>
      <diagonal/>
    </border>
    <border>
      <left/>
      <right/>
      <top/>
      <bottom style="medium">
        <color rgb="FFD56F43"/>
      </bottom>
      <diagonal/>
    </border>
    <border>
      <left/>
      <right/>
      <top/>
      <bottom style="medium">
        <color rgb="FFE46836"/>
      </bottom>
      <diagonal/>
    </border>
    <border>
      <left/>
      <right/>
      <top style="medium">
        <color rgb="FFD56F43"/>
      </top>
      <bottom style="medium">
        <color rgb="FFE06648"/>
      </bottom>
      <diagonal/>
    </border>
    <border>
      <left/>
      <right/>
      <top style="medium">
        <color rgb="FFE46836"/>
      </top>
      <bottom style="medium">
        <color rgb="FFE06648"/>
      </bottom>
      <diagonal/>
    </border>
    <border>
      <left/>
      <right style="thin">
        <color rgb="FFE06648"/>
      </right>
      <top/>
      <bottom style="thin">
        <color rgb="FFE06648"/>
      </bottom>
      <diagonal/>
    </border>
    <border>
      <left/>
      <right style="thin">
        <color rgb="FFE06648"/>
      </right>
      <top style="thin">
        <color rgb="FFE06648"/>
      </top>
      <bottom/>
      <diagonal/>
    </border>
    <border>
      <left/>
      <right style="thin">
        <color rgb="FFE06648"/>
      </right>
      <top/>
      <bottom/>
      <diagonal/>
    </border>
    <border>
      <left/>
      <right style="thin">
        <color rgb="FFE06648"/>
      </right>
      <top/>
      <bottom style="medium">
        <color theme="1"/>
      </bottom>
      <diagonal/>
    </border>
    <border>
      <left style="medium">
        <color indexed="64"/>
      </left>
      <right style="thin">
        <color rgb="FFE06648"/>
      </right>
      <top style="medium">
        <color indexed="64"/>
      </top>
      <bottom style="thin">
        <color rgb="FFE06648"/>
      </bottom>
      <diagonal/>
    </border>
    <border>
      <left style="thin">
        <color rgb="FFE06648"/>
      </left>
      <right/>
      <top style="medium">
        <color indexed="64"/>
      </top>
      <bottom/>
      <diagonal/>
    </border>
    <border>
      <left style="thin">
        <color rgb="FFE06648"/>
      </left>
      <right style="thin">
        <color rgb="FFE06648"/>
      </right>
      <top style="medium">
        <color indexed="64"/>
      </top>
      <bottom/>
      <diagonal/>
    </border>
    <border>
      <left style="thin">
        <color rgb="FFE06648"/>
      </left>
      <right style="thin">
        <color rgb="FFE06648"/>
      </right>
      <top style="medium">
        <color indexed="64"/>
      </top>
      <bottom style="thin">
        <color rgb="FFE06648"/>
      </bottom>
      <diagonal/>
    </border>
    <border>
      <left/>
      <right style="medium">
        <color indexed="64"/>
      </right>
      <top style="thin">
        <color rgb="FFE06648"/>
      </top>
      <bottom style="thin">
        <color rgb="FFE06648"/>
      </bottom>
      <diagonal/>
    </border>
    <border>
      <left style="thin">
        <color rgb="FFE06648"/>
      </left>
      <right style="medium">
        <color indexed="64"/>
      </right>
      <top style="thin">
        <color rgb="FFE06648"/>
      </top>
      <bottom style="medium">
        <color indexed="64"/>
      </bottom>
      <diagonal/>
    </border>
    <border>
      <left style="thin">
        <color theme="0"/>
      </left>
      <right style="thin">
        <color theme="0"/>
      </right>
      <top style="thin">
        <color theme="0"/>
      </top>
      <bottom style="thin">
        <color theme="0"/>
      </bottom>
      <diagonal/>
    </border>
    <border>
      <left/>
      <right/>
      <top style="medium">
        <color rgb="FFC4D64B"/>
      </top>
      <bottom style="medium">
        <color rgb="FFC4D64B"/>
      </bottom>
      <diagonal/>
    </border>
    <border>
      <left/>
      <right/>
      <top style="medium">
        <color rgb="FFCCCCCC"/>
      </top>
      <bottom style="medium">
        <color rgb="FFCCCCCC"/>
      </bottom>
      <diagonal/>
    </border>
    <border>
      <left/>
      <right/>
      <top/>
      <bottom style="medium">
        <color rgb="FFDDDDDD"/>
      </bottom>
      <diagonal/>
    </border>
    <border>
      <left/>
      <right/>
      <top style="medium">
        <color rgb="FFCCCCCC"/>
      </top>
      <bottom style="medium">
        <color rgb="FFDDDDDD"/>
      </bottom>
      <diagonal/>
    </border>
    <border>
      <left/>
      <right/>
      <top/>
      <bottom style="medium">
        <color rgb="FFCCCCCC"/>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style="thin">
        <color indexed="22"/>
      </right>
      <top/>
      <bottom style="thin">
        <color indexed="2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medium">
        <color rgb="FF008466"/>
      </top>
      <bottom/>
      <diagonal/>
    </border>
    <border>
      <left/>
      <right style="thick">
        <color rgb="FF008466"/>
      </right>
      <top style="medium">
        <color rgb="FF008466"/>
      </top>
      <bottom/>
      <diagonal/>
    </border>
    <border>
      <left/>
      <right style="thick">
        <color rgb="FF008466"/>
      </right>
      <top/>
      <bottom/>
      <diagonal/>
    </border>
    <border>
      <left/>
      <right/>
      <top/>
      <bottom style="medium">
        <color rgb="FF008466"/>
      </bottom>
      <diagonal/>
    </border>
    <border>
      <left/>
      <right style="thick">
        <color rgb="FF008466"/>
      </right>
      <top/>
      <bottom style="medium">
        <color rgb="FF008466"/>
      </bottom>
      <diagonal/>
    </border>
    <border>
      <left/>
      <right style="medium">
        <color rgb="FF008466"/>
      </right>
      <top/>
      <bottom style="thick">
        <color rgb="FF008466"/>
      </bottom>
      <diagonal/>
    </border>
    <border>
      <left/>
      <right style="medium">
        <color rgb="FF008466"/>
      </right>
      <top/>
      <bottom/>
      <diagonal/>
    </border>
    <border>
      <left/>
      <right style="medium">
        <color rgb="FF008466"/>
      </right>
      <top/>
      <bottom style="medium">
        <color rgb="FF008466"/>
      </bottom>
      <diagonal/>
    </border>
    <border>
      <left style="thick">
        <color rgb="FF008466"/>
      </left>
      <right/>
      <top/>
      <bottom/>
      <diagonal/>
    </border>
    <border>
      <left style="thick">
        <color rgb="FF008466"/>
      </left>
      <right/>
      <top/>
      <bottom style="medium">
        <color rgb="FF008466"/>
      </bottom>
      <diagonal/>
    </border>
    <border>
      <left/>
      <right style="medium">
        <color rgb="FF008466"/>
      </right>
      <top style="medium">
        <color rgb="FF008466"/>
      </top>
      <bottom/>
      <diagonal/>
    </border>
    <border>
      <left style="medium">
        <color rgb="FF008466"/>
      </left>
      <right style="thick">
        <color rgb="FF008466"/>
      </right>
      <top style="medium">
        <color rgb="FF008466"/>
      </top>
      <bottom/>
      <diagonal/>
    </border>
    <border>
      <left style="medium">
        <color rgb="FF008466"/>
      </left>
      <right style="thick">
        <color rgb="FF008466"/>
      </right>
      <top/>
      <bottom style="thick">
        <color rgb="FF008466"/>
      </bottom>
      <diagonal/>
    </border>
    <border>
      <left style="thick">
        <color rgb="FF008466"/>
      </left>
      <right/>
      <top style="medium">
        <color rgb="FF008466"/>
      </top>
      <bottom style="medium">
        <color rgb="FF008466"/>
      </bottom>
      <diagonal/>
    </border>
    <border>
      <left/>
      <right style="medium">
        <color rgb="FF008466"/>
      </right>
      <top style="medium">
        <color rgb="FF008466"/>
      </top>
      <bottom style="medium">
        <color rgb="FF008466"/>
      </bottom>
      <diagonal/>
    </border>
    <border>
      <left style="medium">
        <color rgb="FF008466"/>
      </left>
      <right style="medium">
        <color rgb="FF008466"/>
      </right>
      <top style="medium">
        <color rgb="FF008466"/>
      </top>
      <bottom/>
      <diagonal/>
    </border>
    <border>
      <left style="medium">
        <color rgb="FF008466"/>
      </left>
      <right style="medium">
        <color rgb="FF008466"/>
      </right>
      <top/>
      <bottom style="thick">
        <color rgb="FF008466"/>
      </bottom>
      <diagonal/>
    </border>
    <border>
      <left/>
      <right/>
      <top/>
      <bottom style="thick">
        <color rgb="FF008466"/>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indexed="64"/>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style="thin">
        <color indexed="64"/>
      </top>
      <bottom style="medium">
        <color indexed="64"/>
      </bottom>
      <diagonal/>
    </border>
    <border>
      <left style="thin">
        <color theme="0"/>
      </left>
      <right style="thin">
        <color theme="0"/>
      </right>
      <top/>
      <bottom/>
      <diagonal/>
    </border>
  </borders>
  <cellStyleXfs count="14">
    <xf numFmtId="0" fontId="0" fillId="0" borderId="0"/>
    <xf numFmtId="169"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18" fillId="5" borderId="0" applyNumberFormat="0" applyBorder="0" applyAlignment="0" applyProtection="0"/>
    <xf numFmtId="0" fontId="33" fillId="0" borderId="0"/>
    <xf numFmtId="9" fontId="33" fillId="0" borderId="0" applyFont="0" applyFill="0" applyBorder="0" applyAlignment="0" applyProtection="0"/>
    <xf numFmtId="174" fontId="38" fillId="0" borderId="0"/>
    <xf numFmtId="168" fontId="33" fillId="0" borderId="0" applyFont="0" applyFill="0" applyBorder="0" applyAlignment="0" applyProtection="0"/>
    <xf numFmtId="0" fontId="55" fillId="8" borderId="0" applyNumberFormat="0" applyBorder="0" applyAlignment="0" applyProtection="0"/>
    <xf numFmtId="0" fontId="56" fillId="9" borderId="0" applyNumberFormat="0" applyBorder="0" applyAlignment="0" applyProtection="0"/>
    <xf numFmtId="168" fontId="1" fillId="0" borderId="0" applyFont="0" applyFill="0" applyBorder="0" applyAlignment="0" applyProtection="0"/>
    <xf numFmtId="43" fontId="33" fillId="0" borderId="0" applyFont="0" applyFill="0" applyBorder="0" applyAlignment="0" applyProtection="0"/>
    <xf numFmtId="0" fontId="135" fillId="0" borderId="0" applyNumberFormat="0" applyFill="0" applyBorder="0" applyAlignment="0" applyProtection="0"/>
  </cellStyleXfs>
  <cellXfs count="1049">
    <xf numFmtId="0" fontId="0" fillId="0" borderId="0" xfId="0"/>
    <xf numFmtId="170" fontId="0" fillId="0" borderId="0" xfId="0" applyNumberFormat="1"/>
    <xf numFmtId="0" fontId="2" fillId="2" borderId="0" xfId="0" applyFont="1" applyFill="1"/>
    <xf numFmtId="0" fontId="6" fillId="2" borderId="0" xfId="0" applyFont="1" applyFill="1"/>
    <xf numFmtId="0" fontId="11" fillId="2" borderId="0" xfId="0" applyFont="1" applyFill="1"/>
    <xf numFmtId="171" fontId="2" fillId="2" borderId="0" xfId="0" applyNumberFormat="1" applyFont="1" applyFill="1"/>
    <xf numFmtId="170" fontId="2" fillId="2" borderId="0" xfId="0" applyNumberFormat="1" applyFont="1" applyFill="1"/>
    <xf numFmtId="171" fontId="2" fillId="2" borderId="0" xfId="0" applyNumberFormat="1" applyFont="1" applyFill="1" applyAlignment="1">
      <alignment horizontal="left" indent="2"/>
    </xf>
    <xf numFmtId="165" fontId="2" fillId="2" borderId="0" xfId="0" applyNumberFormat="1" applyFont="1" applyFill="1"/>
    <xf numFmtId="0" fontId="12" fillId="2" borderId="0" xfId="0" applyFont="1" applyFill="1"/>
    <xf numFmtId="0" fontId="3" fillId="2" borderId="0" xfId="0" applyFont="1" applyFill="1"/>
    <xf numFmtId="0" fontId="13" fillId="2" borderId="0" xfId="0" applyFont="1" applyFill="1" applyAlignment="1">
      <alignment horizontal="center"/>
    </xf>
    <xf numFmtId="0" fontId="14" fillId="2" borderId="0" xfId="0" applyFont="1" applyFill="1" applyAlignment="1">
      <alignment horizontal="center"/>
    </xf>
    <xf numFmtId="0" fontId="19" fillId="2" borderId="0" xfId="0" applyFont="1" applyFill="1"/>
    <xf numFmtId="0" fontId="21" fillId="0" borderId="0" xfId="0" applyFont="1"/>
    <xf numFmtId="0" fontId="5" fillId="0" borderId="0" xfId="0" applyFont="1"/>
    <xf numFmtId="170" fontId="5" fillId="0" borderId="0" xfId="0" applyNumberFormat="1" applyFont="1"/>
    <xf numFmtId="170" fontId="21" fillId="0" borderId="0" xfId="0" applyNumberFormat="1" applyFont="1"/>
    <xf numFmtId="165" fontId="5" fillId="0" borderId="0" xfId="0" applyNumberFormat="1" applyFont="1"/>
    <xf numFmtId="0" fontId="23" fillId="2" borderId="0" xfId="0" applyFont="1" applyFill="1" applyAlignment="1">
      <alignment horizontal="center"/>
    </xf>
    <xf numFmtId="0" fontId="26" fillId="2" borderId="0" xfId="0" applyFont="1" applyFill="1" applyAlignment="1">
      <alignment horizontal="center"/>
    </xf>
    <xf numFmtId="0" fontId="16" fillId="2" borderId="0" xfId="0" applyFont="1" applyFill="1" applyAlignment="1">
      <alignment horizontal="center"/>
    </xf>
    <xf numFmtId="0" fontId="25" fillId="2" borderId="0" xfId="0" applyFont="1" applyFill="1" applyAlignment="1">
      <alignment horizontal="center"/>
    </xf>
    <xf numFmtId="170" fontId="19" fillId="2" borderId="0" xfId="0" applyNumberFormat="1" applyFont="1" applyFill="1"/>
    <xf numFmtId="0" fontId="6" fillId="2" borderId="4" xfId="0" applyFont="1" applyFill="1" applyBorder="1"/>
    <xf numFmtId="172" fontId="6" fillId="2" borderId="0" xfId="0" applyNumberFormat="1" applyFont="1" applyFill="1" applyProtection="1">
      <protection locked="0"/>
    </xf>
    <xf numFmtId="164" fontId="6" fillId="2" borderId="0" xfId="0" applyNumberFormat="1" applyFont="1" applyFill="1" applyProtection="1">
      <protection locked="0"/>
    </xf>
    <xf numFmtId="0" fontId="6" fillId="2" borderId="4" xfId="1" applyNumberFormat="1" applyFont="1" applyFill="1" applyBorder="1" applyAlignment="1" applyProtection="1">
      <protection locked="0"/>
    </xf>
    <xf numFmtId="171" fontId="6" fillId="2" borderId="0" xfId="1" applyNumberFormat="1" applyFont="1" applyFill="1" applyProtection="1">
      <protection locked="0"/>
    </xf>
    <xf numFmtId="0" fontId="6" fillId="2" borderId="7" xfId="1" applyNumberFormat="1" applyFont="1" applyFill="1" applyBorder="1" applyAlignment="1" applyProtection="1">
      <protection locked="0"/>
    </xf>
    <xf numFmtId="0" fontId="6" fillId="2" borderId="8" xfId="1" applyNumberFormat="1" applyFont="1" applyFill="1" applyBorder="1" applyAlignment="1" applyProtection="1">
      <protection locked="0"/>
    </xf>
    <xf numFmtId="0" fontId="6" fillId="2" borderId="9" xfId="1" applyNumberFormat="1" applyFont="1" applyFill="1" applyBorder="1" applyAlignment="1" applyProtection="1">
      <protection locked="0"/>
    </xf>
    <xf numFmtId="172" fontId="6" fillId="2" borderId="0" xfId="0" applyNumberFormat="1" applyFont="1" applyFill="1"/>
    <xf numFmtId="164" fontId="6" fillId="2" borderId="0" xfId="0" applyNumberFormat="1" applyFont="1" applyFill="1"/>
    <xf numFmtId="9" fontId="0" fillId="0" borderId="0" xfId="0" applyNumberFormat="1"/>
    <xf numFmtId="173" fontId="0" fillId="0" borderId="0" xfId="0" applyNumberFormat="1"/>
    <xf numFmtId="173" fontId="6" fillId="2" borderId="4" xfId="2" applyNumberFormat="1" applyFont="1" applyFill="1" applyBorder="1"/>
    <xf numFmtId="14" fontId="6" fillId="2" borderId="4" xfId="0" applyNumberFormat="1" applyFont="1" applyFill="1" applyBorder="1"/>
    <xf numFmtId="171" fontId="6" fillId="2" borderId="4" xfId="1" applyNumberFormat="1" applyFont="1" applyFill="1" applyBorder="1"/>
    <xf numFmtId="173" fontId="6" fillId="2" borderId="4" xfId="1" applyNumberFormat="1" applyFont="1" applyFill="1" applyBorder="1" applyAlignment="1" applyProtection="1">
      <protection locked="0"/>
    </xf>
    <xf numFmtId="173" fontId="6" fillId="2" borderId="9" xfId="1" applyNumberFormat="1" applyFont="1" applyFill="1" applyBorder="1" applyAlignment="1" applyProtection="1">
      <protection locked="0"/>
    </xf>
    <xf numFmtId="0" fontId="23" fillId="2" borderId="0" xfId="0" applyFont="1" applyFill="1"/>
    <xf numFmtId="0" fontId="35" fillId="2" borderId="0" xfId="3" applyFont="1" applyFill="1"/>
    <xf numFmtId="171" fontId="6" fillId="2" borderId="0" xfId="1" applyNumberFormat="1" applyFont="1" applyFill="1" applyProtection="1"/>
    <xf numFmtId="0" fontId="31" fillId="2" borderId="0" xfId="0" applyFont="1" applyFill="1" applyAlignment="1">
      <alignment wrapText="1"/>
    </xf>
    <xf numFmtId="173" fontId="6" fillId="2" borderId="0" xfId="2" applyNumberFormat="1" applyFont="1" applyFill="1" applyProtection="1"/>
    <xf numFmtId="170" fontId="6" fillId="2" borderId="0" xfId="0" applyNumberFormat="1" applyFont="1" applyFill="1"/>
    <xf numFmtId="0" fontId="29" fillId="4" borderId="0" xfId="0" applyFont="1" applyFill="1"/>
    <xf numFmtId="0" fontId="6" fillId="4" borderId="0" xfId="0" applyFont="1" applyFill="1"/>
    <xf numFmtId="0" fontId="16" fillId="2" borderId="0" xfId="0" applyFont="1" applyFill="1"/>
    <xf numFmtId="165" fontId="6" fillId="2" borderId="0" xfId="0" applyNumberFormat="1" applyFont="1" applyFill="1"/>
    <xf numFmtId="0" fontId="5" fillId="2" borderId="0" xfId="0" applyFont="1" applyFill="1"/>
    <xf numFmtId="0" fontId="24" fillId="2" borderId="0" xfId="0" applyFont="1" applyFill="1"/>
    <xf numFmtId="0" fontId="6" fillId="2" borderId="0" xfId="0" applyFont="1" applyFill="1" applyAlignment="1">
      <alignment horizontal="left" wrapText="1"/>
    </xf>
    <xf numFmtId="0" fontId="6" fillId="2" borderId="0" xfId="0" applyFont="1" applyFill="1" applyAlignment="1">
      <alignment horizontal="center"/>
    </xf>
    <xf numFmtId="171" fontId="6" fillId="2" borderId="0" xfId="0" applyNumberFormat="1" applyFont="1" applyFill="1"/>
    <xf numFmtId="0" fontId="4" fillId="2" borderId="0" xfId="0" applyFont="1" applyFill="1"/>
    <xf numFmtId="0" fontId="30" fillId="3" borderId="0" xfId="0" applyFont="1" applyFill="1"/>
    <xf numFmtId="0" fontId="30" fillId="0" borderId="0" xfId="0" applyFont="1"/>
    <xf numFmtId="0" fontId="10" fillId="2" borderId="0" xfId="0" applyFont="1" applyFill="1"/>
    <xf numFmtId="0" fontId="7" fillId="2" borderId="0" xfId="0" applyFont="1" applyFill="1"/>
    <xf numFmtId="0" fontId="27" fillId="2" borderId="0" xfId="0" applyFont="1" applyFill="1"/>
    <xf numFmtId="0" fontId="28" fillId="2" borderId="0" xfId="0" applyFont="1" applyFill="1" applyAlignment="1">
      <alignment horizontal="center"/>
    </xf>
    <xf numFmtId="9" fontId="6" fillId="2" borderId="1" xfId="2" applyFont="1" applyFill="1" applyBorder="1" applyProtection="1"/>
    <xf numFmtId="0" fontId="28" fillId="2" borderId="0" xfId="0" applyFont="1" applyFill="1"/>
    <xf numFmtId="9" fontId="6" fillId="2" borderId="0" xfId="2" applyFont="1" applyFill="1" applyBorder="1" applyProtection="1"/>
    <xf numFmtId="0" fontId="9" fillId="2" borderId="0" xfId="0" applyFont="1" applyFill="1"/>
    <xf numFmtId="172" fontId="6" fillId="2" borderId="0" xfId="0" applyNumberFormat="1" applyFont="1" applyFill="1" applyAlignment="1">
      <alignment horizontal="center"/>
    </xf>
    <xf numFmtId="172" fontId="6" fillId="2" borderId="3" xfId="0" applyNumberFormat="1" applyFont="1" applyFill="1" applyBorder="1"/>
    <xf numFmtId="9" fontId="6" fillId="2" borderId="0" xfId="2" applyFont="1" applyFill="1" applyAlignment="1" applyProtection="1">
      <alignment horizontal="center"/>
    </xf>
    <xf numFmtId="9" fontId="6" fillId="2" borderId="0" xfId="2" applyFont="1" applyFill="1" applyProtection="1"/>
    <xf numFmtId="0" fontId="8" fillId="2" borderId="0" xfId="0" applyFont="1" applyFill="1"/>
    <xf numFmtId="9" fontId="6" fillId="2" borderId="2" xfId="2" applyFont="1" applyFill="1" applyBorder="1" applyProtection="1"/>
    <xf numFmtId="0" fontId="16" fillId="2" borderId="0" xfId="0" applyFont="1" applyFill="1" applyAlignment="1">
      <alignment horizontal="left"/>
    </xf>
    <xf numFmtId="171" fontId="6" fillId="2" borderId="0" xfId="1" applyNumberFormat="1" applyFont="1" applyFill="1" applyBorder="1" applyProtection="1"/>
    <xf numFmtId="9" fontId="6" fillId="2" borderId="0" xfId="2" applyFont="1" applyFill="1" applyBorder="1" applyAlignment="1" applyProtection="1">
      <alignment horizontal="center"/>
    </xf>
    <xf numFmtId="0" fontId="2" fillId="2" borderId="0" xfId="0" applyFont="1" applyFill="1" applyAlignment="1">
      <alignment horizontal="center"/>
    </xf>
    <xf numFmtId="0" fontId="23" fillId="2" borderId="6" xfId="0" applyFont="1" applyFill="1" applyBorder="1"/>
    <xf numFmtId="172" fontId="23" fillId="2" borderId="6" xfId="0" applyNumberFormat="1" applyFont="1" applyFill="1" applyBorder="1"/>
    <xf numFmtId="172" fontId="23" fillId="2" borderId="0" xfId="0" applyNumberFormat="1" applyFont="1" applyFill="1"/>
    <xf numFmtId="0" fontId="34" fillId="2" borderId="0" xfId="0" applyFont="1" applyFill="1"/>
    <xf numFmtId="0" fontId="16" fillId="2" borderId="6" xfId="0" applyFont="1" applyFill="1" applyBorder="1"/>
    <xf numFmtId="0" fontId="16" fillId="2" borderId="5" xfId="0" applyFont="1" applyFill="1" applyBorder="1"/>
    <xf numFmtId="164" fontId="16" fillId="2" borderId="5" xfId="0" applyNumberFormat="1" applyFont="1" applyFill="1" applyBorder="1"/>
    <xf numFmtId="172" fontId="16" fillId="2" borderId="0" xfId="0" applyNumberFormat="1" applyFont="1" applyFill="1"/>
    <xf numFmtId="0" fontId="44" fillId="2" borderId="13" xfId="0" applyFont="1" applyFill="1" applyBorder="1" applyProtection="1">
      <protection locked="0"/>
    </xf>
    <xf numFmtId="0" fontId="49" fillId="2" borderId="0" xfId="0" applyFont="1" applyFill="1"/>
    <xf numFmtId="0" fontId="51" fillId="2" borderId="0" xfId="0" applyFont="1" applyFill="1"/>
    <xf numFmtId="0" fontId="40" fillId="7" borderId="16" xfId="0" applyFont="1" applyFill="1" applyBorder="1"/>
    <xf numFmtId="0" fontId="6" fillId="7" borderId="17" xfId="0" applyFont="1" applyFill="1" applyBorder="1"/>
    <xf numFmtId="0" fontId="6" fillId="7" borderId="14" xfId="0" applyFont="1" applyFill="1" applyBorder="1"/>
    <xf numFmtId="165" fontId="6" fillId="2" borderId="18" xfId="1" applyNumberFormat="1" applyFont="1" applyFill="1" applyBorder="1" applyAlignment="1" applyProtection="1">
      <protection locked="0"/>
    </xf>
    <xf numFmtId="165" fontId="6" fillId="2" borderId="19" xfId="1" applyNumberFormat="1" applyFont="1" applyFill="1" applyBorder="1" applyAlignment="1" applyProtection="1">
      <protection locked="0"/>
    </xf>
    <xf numFmtId="0" fontId="29" fillId="4" borderId="16" xfId="0" applyFont="1" applyFill="1" applyBorder="1"/>
    <xf numFmtId="0" fontId="6" fillId="4" borderId="17" xfId="0" applyFont="1" applyFill="1" applyBorder="1"/>
    <xf numFmtId="0" fontId="37" fillId="2" borderId="21" xfId="0" applyFont="1" applyFill="1" applyBorder="1" applyAlignment="1">
      <alignment wrapText="1"/>
    </xf>
    <xf numFmtId="9" fontId="6" fillId="2" borderId="4" xfId="2" applyFont="1" applyFill="1" applyBorder="1" applyAlignment="1" applyProtection="1">
      <protection locked="0"/>
    </xf>
    <xf numFmtId="9" fontId="6" fillId="2" borderId="4" xfId="2" quotePrefix="1" applyFont="1" applyFill="1" applyBorder="1" applyAlignment="1" applyProtection="1">
      <protection locked="0"/>
    </xf>
    <xf numFmtId="9" fontId="6" fillId="2" borderId="9" xfId="2" applyFont="1" applyFill="1" applyBorder="1" applyAlignment="1" applyProtection="1">
      <protection locked="0"/>
    </xf>
    <xf numFmtId="0" fontId="44" fillId="2" borderId="13" xfId="0" applyFont="1" applyFill="1" applyBorder="1" applyAlignment="1" applyProtection="1">
      <alignment wrapText="1"/>
      <protection locked="0"/>
    </xf>
    <xf numFmtId="0" fontId="53" fillId="2" borderId="0" xfId="0" applyFont="1" applyFill="1"/>
    <xf numFmtId="172" fontId="6" fillId="2" borderId="4" xfId="0" applyNumberFormat="1" applyFont="1" applyFill="1" applyBorder="1"/>
    <xf numFmtId="175" fontId="6" fillId="2" borderId="4" xfId="0" applyNumberFormat="1" applyFont="1" applyFill="1" applyBorder="1"/>
    <xf numFmtId="0" fontId="5" fillId="2" borderId="4" xfId="0" applyFont="1" applyFill="1" applyBorder="1" applyProtection="1">
      <protection locked="0"/>
    </xf>
    <xf numFmtId="172" fontId="6" fillId="2" borderId="4" xfId="0" applyNumberFormat="1" applyFont="1" applyFill="1" applyBorder="1" applyProtection="1">
      <protection locked="0"/>
    </xf>
    <xf numFmtId="0" fontId="6" fillId="2" borderId="0" xfId="0" applyFont="1" applyFill="1" applyProtection="1">
      <protection locked="0"/>
    </xf>
    <xf numFmtId="0" fontId="32" fillId="2" borderId="0" xfId="3" applyFont="1" applyFill="1" applyAlignment="1" applyProtection="1">
      <alignment horizontal="left" vertical="center"/>
    </xf>
    <xf numFmtId="0" fontId="6" fillId="2" borderId="0" xfId="0" applyFont="1" applyFill="1" applyAlignment="1">
      <alignment horizontal="left" vertical="top" wrapText="1"/>
    </xf>
    <xf numFmtId="14" fontId="6" fillId="2" borderId="4" xfId="1" applyNumberFormat="1" applyFont="1" applyFill="1" applyBorder="1" applyAlignment="1" applyProtection="1">
      <protection locked="0"/>
    </xf>
    <xf numFmtId="14" fontId="6" fillId="2" borderId="9" xfId="1" applyNumberFormat="1" applyFont="1" applyFill="1" applyBorder="1" applyAlignment="1" applyProtection="1">
      <protection locked="0"/>
    </xf>
    <xf numFmtId="0" fontId="39" fillId="2" borderId="0" xfId="0" applyFont="1" applyFill="1"/>
    <xf numFmtId="170" fontId="23" fillId="2" borderId="0" xfId="0" applyNumberFormat="1" applyFont="1" applyFill="1"/>
    <xf numFmtId="173" fontId="16" fillId="13" borderId="0" xfId="0" applyNumberFormat="1" applyFont="1" applyFill="1" applyProtection="1">
      <protection locked="0"/>
    </xf>
    <xf numFmtId="170" fontId="6" fillId="2" borderId="11" xfId="0" quotePrefix="1" applyNumberFormat="1" applyFont="1" applyFill="1" applyBorder="1"/>
    <xf numFmtId="0" fontId="5" fillId="2" borderId="0" xfId="0" applyFont="1" applyFill="1" applyAlignment="1">
      <alignment horizontal="center" vertical="center" wrapText="1"/>
    </xf>
    <xf numFmtId="0" fontId="59" fillId="9" borderId="0" xfId="10" applyFont="1" applyAlignment="1" applyProtection="1">
      <alignment horizontal="center" vertical="center"/>
    </xf>
    <xf numFmtId="0" fontId="57" fillId="8" borderId="0" xfId="9" applyFont="1" applyAlignment="1" applyProtection="1">
      <alignment horizontal="center" vertical="center"/>
    </xf>
    <xf numFmtId="0" fontId="5" fillId="2" borderId="0" xfId="0" applyFont="1" applyFill="1" applyAlignment="1">
      <alignment horizontal="center" vertical="center"/>
    </xf>
    <xf numFmtId="0" fontId="36" fillId="5" borderId="0" xfId="4" applyFont="1" applyAlignment="1" applyProtection="1">
      <alignment horizontal="center" vertical="center"/>
    </xf>
    <xf numFmtId="0" fontId="4" fillId="10" borderId="0" xfId="4" applyFont="1" applyFill="1" applyAlignment="1" applyProtection="1">
      <alignment horizontal="center" vertical="center"/>
    </xf>
    <xf numFmtId="173" fontId="16" fillId="2" borderId="0" xfId="0" applyNumberFormat="1" applyFont="1" applyFill="1"/>
    <xf numFmtId="0" fontId="42" fillId="2" borderId="0" xfId="0" applyFont="1" applyFill="1"/>
    <xf numFmtId="0" fontId="43" fillId="2" borderId="0" xfId="3" applyFont="1" applyFill="1" applyProtection="1"/>
    <xf numFmtId="0" fontId="44" fillId="2" borderId="0" xfId="0" applyFont="1" applyFill="1"/>
    <xf numFmtId="0" fontId="47" fillId="2" borderId="0" xfId="0" applyFont="1" applyFill="1" applyAlignment="1">
      <alignment vertical="center"/>
    </xf>
    <xf numFmtId="0" fontId="48" fillId="4" borderId="16" xfId="0" applyFont="1" applyFill="1" applyBorder="1" applyAlignment="1">
      <alignment vertical="center"/>
    </xf>
    <xf numFmtId="0" fontId="48" fillId="4" borderId="13" xfId="0" applyFont="1" applyFill="1" applyBorder="1" applyAlignment="1">
      <alignment vertical="center"/>
    </xf>
    <xf numFmtId="0" fontId="48" fillId="4" borderId="17" xfId="0" applyFont="1" applyFill="1" applyBorder="1" applyAlignment="1">
      <alignment vertical="center"/>
    </xf>
    <xf numFmtId="0" fontId="45" fillId="2" borderId="13" xfId="0" applyFont="1" applyFill="1" applyBorder="1" applyAlignment="1">
      <alignment vertical="center" wrapText="1"/>
    </xf>
    <xf numFmtId="0" fontId="46" fillId="2" borderId="14" xfId="0" applyFont="1" applyFill="1" applyBorder="1" applyAlignment="1">
      <alignment vertical="center" wrapText="1"/>
    </xf>
    <xf numFmtId="0" fontId="45" fillId="2" borderId="14" xfId="0" applyFont="1" applyFill="1" applyBorder="1" applyAlignment="1">
      <alignment vertical="center" wrapText="1"/>
    </xf>
    <xf numFmtId="0" fontId="45" fillId="2" borderId="15" xfId="0" applyFont="1" applyFill="1" applyBorder="1" applyAlignment="1">
      <alignment vertical="center" wrapText="1"/>
    </xf>
    <xf numFmtId="0" fontId="46" fillId="2" borderId="10" xfId="0" applyFont="1" applyFill="1" applyBorder="1" applyAlignment="1">
      <alignment vertical="center" wrapText="1"/>
    </xf>
    <xf numFmtId="0" fontId="44" fillId="2" borderId="10" xfId="0" applyFont="1" applyFill="1" applyBorder="1" applyAlignment="1">
      <alignment vertical="center" wrapText="1"/>
    </xf>
    <xf numFmtId="0" fontId="45" fillId="2" borderId="10" xfId="0" applyFont="1" applyFill="1" applyBorder="1" applyAlignment="1">
      <alignment vertical="center" wrapText="1"/>
    </xf>
    <xf numFmtId="0" fontId="44" fillId="2" borderId="15" xfId="0" applyFont="1" applyFill="1" applyBorder="1" applyAlignment="1">
      <alignment vertical="center" wrapText="1"/>
    </xf>
    <xf numFmtId="3" fontId="6" fillId="2" borderId="0" xfId="0" applyNumberFormat="1" applyFont="1" applyFill="1" applyAlignment="1">
      <alignment horizontal="center"/>
    </xf>
    <xf numFmtId="0" fontId="32" fillId="2" borderId="0" xfId="3" applyFont="1" applyFill="1" applyProtection="1"/>
    <xf numFmtId="0" fontId="41" fillId="2" borderId="22" xfId="0" applyFont="1" applyFill="1" applyBorder="1" applyAlignment="1">
      <alignment wrapText="1"/>
    </xf>
    <xf numFmtId="0" fontId="40" fillId="7" borderId="17" xfId="0" applyFont="1" applyFill="1" applyBorder="1"/>
    <xf numFmtId="0" fontId="16" fillId="2" borderId="24" xfId="0" applyFont="1" applyFill="1" applyBorder="1"/>
    <xf numFmtId="172" fontId="6" fillId="2" borderId="24" xfId="0" applyNumberFormat="1" applyFont="1" applyFill="1" applyBorder="1"/>
    <xf numFmtId="0" fontId="32" fillId="2" borderId="0" xfId="3" applyFont="1" applyFill="1"/>
    <xf numFmtId="172" fontId="36" fillId="5" borderId="25" xfId="4" applyNumberFormat="1" applyFont="1" applyBorder="1" applyProtection="1"/>
    <xf numFmtId="170" fontId="61" fillId="14" borderId="0" xfId="0" applyNumberFormat="1" applyFont="1" applyFill="1" applyProtection="1">
      <protection locked="0"/>
    </xf>
    <xf numFmtId="0" fontId="29" fillId="4" borderId="27" xfId="0" applyFont="1" applyFill="1" applyBorder="1"/>
    <xf numFmtId="0" fontId="6" fillId="4" borderId="28" xfId="0" applyFont="1" applyFill="1" applyBorder="1"/>
    <xf numFmtId="0" fontId="6" fillId="4" borderId="29" xfId="0" applyFont="1" applyFill="1" applyBorder="1"/>
    <xf numFmtId="0" fontId="37" fillId="2" borderId="31" xfId="0" applyFont="1" applyFill="1" applyBorder="1" applyAlignment="1">
      <alignment wrapText="1"/>
    </xf>
    <xf numFmtId="167" fontId="6" fillId="2" borderId="0" xfId="0" applyNumberFormat="1" applyFont="1" applyFill="1"/>
    <xf numFmtId="0" fontId="6" fillId="2" borderId="35" xfId="0" applyFont="1" applyFill="1" applyBorder="1"/>
    <xf numFmtId="172" fontId="6" fillId="2" borderId="36" xfId="0" applyNumberFormat="1" applyFont="1" applyFill="1" applyBorder="1"/>
    <xf numFmtId="0" fontId="6" fillId="2" borderId="37" xfId="0" applyFont="1" applyFill="1" applyBorder="1"/>
    <xf numFmtId="0" fontId="6" fillId="2" borderId="38" xfId="0" applyFont="1" applyFill="1" applyBorder="1"/>
    <xf numFmtId="172" fontId="6" fillId="2" borderId="38" xfId="0" applyNumberFormat="1" applyFont="1" applyFill="1" applyBorder="1"/>
    <xf numFmtId="175" fontId="6" fillId="2" borderId="38" xfId="0" applyNumberFormat="1" applyFont="1" applyFill="1" applyBorder="1"/>
    <xf numFmtId="0" fontId="5" fillId="2" borderId="38" xfId="0" applyFont="1" applyFill="1" applyBorder="1" applyProtection="1">
      <protection locked="0"/>
    </xf>
    <xf numFmtId="172" fontId="6" fillId="2" borderId="38" xfId="0" applyNumberFormat="1" applyFont="1" applyFill="1" applyBorder="1" applyProtection="1">
      <protection locked="0"/>
    </xf>
    <xf numFmtId="172" fontId="6" fillId="2" borderId="39" xfId="0" applyNumberFormat="1" applyFont="1" applyFill="1" applyBorder="1"/>
    <xf numFmtId="0" fontId="16" fillId="2" borderId="32" xfId="0" applyFont="1" applyFill="1" applyBorder="1" applyAlignment="1">
      <alignment horizontal="center"/>
    </xf>
    <xf numFmtId="0" fontId="16" fillId="2" borderId="33" xfId="0" applyFont="1" applyFill="1" applyBorder="1" applyAlignment="1">
      <alignment horizontal="center"/>
    </xf>
    <xf numFmtId="0" fontId="25" fillId="2" borderId="33" xfId="0" applyFont="1" applyFill="1" applyBorder="1" applyAlignment="1">
      <alignment horizontal="center"/>
    </xf>
    <xf numFmtId="0" fontId="2" fillId="2" borderId="33" xfId="0" applyFont="1" applyFill="1" applyBorder="1"/>
    <xf numFmtId="0" fontId="2" fillId="2" borderId="34" xfId="0" applyFont="1" applyFill="1" applyBorder="1"/>
    <xf numFmtId="0" fontId="23" fillId="2" borderId="40" xfId="0" applyFont="1" applyFill="1" applyBorder="1" applyAlignment="1">
      <alignment horizontal="center"/>
    </xf>
    <xf numFmtId="0" fontId="2" fillId="2" borderId="41" xfId="0" applyFont="1" applyFill="1" applyBorder="1"/>
    <xf numFmtId="0" fontId="2" fillId="2" borderId="40" xfId="0" applyFont="1" applyFill="1" applyBorder="1"/>
    <xf numFmtId="0" fontId="19" fillId="2" borderId="40" xfId="0" applyFont="1" applyFill="1" applyBorder="1"/>
    <xf numFmtId="0" fontId="20" fillId="2" borderId="40" xfId="0" applyFont="1" applyFill="1" applyBorder="1"/>
    <xf numFmtId="0" fontId="17" fillId="2" borderId="40" xfId="0" applyFont="1" applyFill="1" applyBorder="1"/>
    <xf numFmtId="0" fontId="19" fillId="2" borderId="40" xfId="0" applyFont="1" applyFill="1" applyBorder="1" applyAlignment="1">
      <alignment horizontal="left"/>
    </xf>
    <xf numFmtId="0" fontId="20" fillId="2" borderId="42" xfId="0" applyFont="1" applyFill="1" applyBorder="1" applyAlignment="1">
      <alignment horizontal="left"/>
    </xf>
    <xf numFmtId="0" fontId="23" fillId="2" borderId="43" xfId="0" applyFont="1" applyFill="1" applyBorder="1" applyAlignment="1">
      <alignment horizontal="center"/>
    </xf>
    <xf numFmtId="0" fontId="26" fillId="2" borderId="43" xfId="0" applyFont="1" applyFill="1" applyBorder="1" applyAlignment="1">
      <alignment horizontal="center"/>
    </xf>
    <xf numFmtId="0" fontId="2" fillId="2" borderId="43" xfId="0" applyFont="1" applyFill="1" applyBorder="1"/>
    <xf numFmtId="170" fontId="19" fillId="2" borderId="43" xfId="0" applyNumberFormat="1" applyFont="1" applyFill="1" applyBorder="1"/>
    <xf numFmtId="0" fontId="2" fillId="2" borderId="44" xfId="0" applyFont="1" applyFill="1" applyBorder="1"/>
    <xf numFmtId="0" fontId="65" fillId="2" borderId="0" xfId="0" applyFont="1" applyFill="1"/>
    <xf numFmtId="0" fontId="37" fillId="2" borderId="48" xfId="0" applyFont="1" applyFill="1" applyBorder="1" applyAlignment="1">
      <alignment wrapText="1"/>
    </xf>
    <xf numFmtId="0" fontId="37" fillId="2" borderId="49" xfId="0" applyFont="1" applyFill="1" applyBorder="1" applyAlignment="1">
      <alignment wrapText="1"/>
    </xf>
    <xf numFmtId="0" fontId="37" fillId="2" borderId="50" xfId="0" applyFont="1" applyFill="1" applyBorder="1" applyAlignment="1">
      <alignment wrapText="1"/>
    </xf>
    <xf numFmtId="170" fontId="6" fillId="2" borderId="36" xfId="0" applyNumberFormat="1" applyFont="1" applyFill="1" applyBorder="1"/>
    <xf numFmtId="170" fontId="6" fillId="2" borderId="39" xfId="0" applyNumberFormat="1" applyFont="1" applyFill="1" applyBorder="1"/>
    <xf numFmtId="0" fontId="29" fillId="4" borderId="32" xfId="0" applyFont="1" applyFill="1" applyBorder="1"/>
    <xf numFmtId="0" fontId="4" fillId="4" borderId="33" xfId="0" applyFont="1" applyFill="1" applyBorder="1"/>
    <xf numFmtId="0" fontId="4" fillId="4" borderId="34" xfId="0" applyFont="1" applyFill="1" applyBorder="1"/>
    <xf numFmtId="0" fontId="4" fillId="4" borderId="42" xfId="0" applyFont="1" applyFill="1" applyBorder="1"/>
    <xf numFmtId="0" fontId="4" fillId="4" borderId="43" xfId="0" applyFont="1" applyFill="1" applyBorder="1"/>
    <xf numFmtId="0" fontId="4" fillId="4" borderId="44" xfId="0" applyFont="1" applyFill="1" applyBorder="1"/>
    <xf numFmtId="174" fontId="79" fillId="18" borderId="0" xfId="7" applyFont="1" applyFill="1"/>
    <xf numFmtId="174" fontId="79" fillId="18" borderId="0" xfId="7" applyFont="1" applyFill="1" applyAlignment="1">
      <alignment horizontal="right"/>
    </xf>
    <xf numFmtId="174" fontId="80" fillId="18" borderId="0" xfId="7" applyFont="1" applyFill="1" applyAlignment="1">
      <alignment horizontal="left"/>
    </xf>
    <xf numFmtId="174" fontId="79" fillId="18" borderId="0" xfId="7" applyFont="1" applyFill="1" applyAlignment="1">
      <alignment horizontal="left"/>
    </xf>
    <xf numFmtId="166" fontId="79" fillId="18" borderId="0" xfId="7" applyNumberFormat="1" applyFont="1" applyFill="1"/>
    <xf numFmtId="174" fontId="80" fillId="18" borderId="0" xfId="7" applyFont="1" applyFill="1"/>
    <xf numFmtId="174" fontId="79" fillId="18" borderId="0" xfId="7" quotePrefix="1" applyFont="1" applyFill="1" applyAlignment="1">
      <alignment horizontal="left"/>
    </xf>
    <xf numFmtId="195" fontId="80" fillId="18" borderId="0" xfId="7" applyNumberFormat="1" applyFont="1" applyFill="1" applyAlignment="1">
      <alignment horizontal="left"/>
    </xf>
    <xf numFmtId="196" fontId="79" fillId="18" borderId="0" xfId="7" applyNumberFormat="1" applyFont="1" applyFill="1" applyAlignment="1">
      <alignment horizontal="left"/>
    </xf>
    <xf numFmtId="174" fontId="81" fillId="18" borderId="52" xfId="7" applyFont="1" applyFill="1" applyBorder="1"/>
    <xf numFmtId="174" fontId="82" fillId="18" borderId="53" xfId="7" applyFont="1" applyFill="1" applyBorder="1"/>
    <xf numFmtId="4" fontId="81" fillId="18" borderId="53" xfId="7" applyNumberFormat="1" applyFont="1" applyFill="1" applyBorder="1" applyAlignment="1" applyProtection="1">
      <alignment horizontal="right"/>
      <protection locked="0"/>
    </xf>
    <xf numFmtId="174" fontId="79" fillId="18" borderId="53" xfId="7" applyFont="1" applyFill="1" applyBorder="1"/>
    <xf numFmtId="174" fontId="79" fillId="18" borderId="53" xfId="7" applyFont="1" applyFill="1" applyBorder="1" applyAlignment="1">
      <alignment horizontal="left"/>
    </xf>
    <xf numFmtId="197" fontId="79" fillId="18" borderId="54" xfId="7" applyNumberFormat="1" applyFont="1" applyFill="1" applyBorder="1"/>
    <xf numFmtId="174" fontId="81" fillId="18" borderId="55" xfId="7" quotePrefix="1" applyFont="1" applyFill="1" applyBorder="1" applyAlignment="1">
      <alignment horizontal="left"/>
    </xf>
    <xf numFmtId="174" fontId="82" fillId="18" borderId="0" xfId="7" applyFont="1" applyFill="1"/>
    <xf numFmtId="198" fontId="81" fillId="18" borderId="0" xfId="7" applyNumberFormat="1" applyFont="1" applyFill="1" applyAlignment="1" applyProtection="1">
      <alignment horizontal="right"/>
      <protection locked="0"/>
    </xf>
    <xf numFmtId="197" fontId="79" fillId="18" borderId="56" xfId="7" applyNumberFormat="1" applyFont="1" applyFill="1" applyBorder="1"/>
    <xf numFmtId="174" fontId="81" fillId="18" borderId="55" xfId="7" applyFont="1" applyFill="1" applyBorder="1" applyAlignment="1">
      <alignment horizontal="left"/>
    </xf>
    <xf numFmtId="174" fontId="81" fillId="18" borderId="0" xfId="7" applyFont="1" applyFill="1"/>
    <xf numFmtId="4" fontId="81" fillId="18" borderId="0" xfId="7" applyNumberFormat="1" applyFont="1" applyFill="1" applyAlignment="1" applyProtection="1">
      <alignment horizontal="right"/>
      <protection locked="0"/>
    </xf>
    <xf numFmtId="199" fontId="81" fillId="18" borderId="0" xfId="7" applyNumberFormat="1" applyFont="1" applyFill="1" applyAlignment="1" applyProtection="1">
      <alignment horizontal="right"/>
      <protection locked="0"/>
    </xf>
    <xf numFmtId="173" fontId="79" fillId="18" borderId="56" xfId="7" applyNumberFormat="1" applyFont="1" applyFill="1" applyBorder="1"/>
    <xf numFmtId="174" fontId="81" fillId="18" borderId="0" xfId="7" applyFont="1" applyFill="1" applyAlignment="1" applyProtection="1">
      <alignment horizontal="right"/>
      <protection locked="0"/>
    </xf>
    <xf numFmtId="174" fontId="79" fillId="18" borderId="0" xfId="7" applyFont="1" applyFill="1" applyAlignment="1">
      <alignment horizontal="left" vertical="top"/>
    </xf>
    <xf numFmtId="200" fontId="79" fillId="18" borderId="56" xfId="7" applyNumberFormat="1" applyFont="1" applyFill="1" applyBorder="1" applyAlignment="1">
      <alignment horizontal="right" vertical="top"/>
    </xf>
    <xf numFmtId="201" fontId="81" fillId="18" borderId="0" xfId="7" applyNumberFormat="1" applyFont="1" applyFill="1" applyAlignment="1" applyProtection="1">
      <alignment horizontal="right"/>
      <protection locked="0"/>
    </xf>
    <xf numFmtId="200" fontId="81" fillId="18" borderId="0" xfId="7" applyNumberFormat="1" applyFont="1" applyFill="1" applyProtection="1">
      <protection locked="0"/>
    </xf>
    <xf numFmtId="202" fontId="79" fillId="18" borderId="55" xfId="7" applyNumberFormat="1" applyFont="1" applyFill="1" applyBorder="1" applyAlignment="1">
      <alignment horizontal="right"/>
    </xf>
    <xf numFmtId="200" fontId="81" fillId="18" borderId="0" xfId="7" applyNumberFormat="1" applyFont="1" applyFill="1" applyAlignment="1" applyProtection="1">
      <alignment horizontal="right"/>
      <protection locked="0"/>
    </xf>
    <xf numFmtId="203" fontId="81" fillId="18" borderId="56" xfId="7" applyNumberFormat="1" applyFont="1" applyFill="1" applyBorder="1" applyAlignment="1" applyProtection="1">
      <alignment horizontal="right"/>
      <protection locked="0"/>
    </xf>
    <xf numFmtId="174" fontId="83" fillId="18" borderId="0" xfId="7" applyFont="1" applyFill="1" applyAlignment="1">
      <alignment horizontal="right"/>
    </xf>
    <xf numFmtId="2" fontId="81" fillId="18" borderId="0" xfId="7" applyNumberFormat="1" applyFont="1" applyFill="1" applyAlignment="1" applyProtection="1">
      <alignment horizontal="right"/>
      <protection locked="0"/>
    </xf>
    <xf numFmtId="174" fontId="81" fillId="18" borderId="0" xfId="7" applyFont="1" applyFill="1" applyAlignment="1">
      <alignment horizontal="left"/>
    </xf>
    <xf numFmtId="174" fontId="81" fillId="18" borderId="56" xfId="7" applyFont="1" applyFill="1" applyBorder="1" applyAlignment="1" applyProtection="1">
      <alignment horizontal="right"/>
      <protection locked="0"/>
    </xf>
    <xf numFmtId="2" fontId="79" fillId="18" borderId="0" xfId="7" applyNumberFormat="1" applyFont="1" applyFill="1"/>
    <xf numFmtId="174" fontId="81" fillId="18" borderId="57" xfId="7" applyFont="1" applyFill="1" applyBorder="1" applyAlignment="1">
      <alignment horizontal="left"/>
    </xf>
    <xf numFmtId="174" fontId="83" fillId="18" borderId="51" xfId="7" applyFont="1" applyFill="1" applyBorder="1" applyAlignment="1">
      <alignment horizontal="right"/>
    </xf>
    <xf numFmtId="2" fontId="81" fillId="18" borderId="51" xfId="7" applyNumberFormat="1" applyFont="1" applyFill="1" applyBorder="1" applyAlignment="1" applyProtection="1">
      <alignment horizontal="right"/>
      <protection locked="0"/>
    </xf>
    <xf numFmtId="174" fontId="79" fillId="18" borderId="51" xfId="7" applyFont="1" applyFill="1" applyBorder="1"/>
    <xf numFmtId="174" fontId="79" fillId="18" borderId="51" xfId="7" applyFont="1" applyFill="1" applyBorder="1" applyAlignment="1">
      <alignment horizontal="left"/>
    </xf>
    <xf numFmtId="174" fontId="79" fillId="18" borderId="58" xfId="7" applyFont="1" applyFill="1" applyBorder="1"/>
    <xf numFmtId="174" fontId="84" fillId="18" borderId="0" xfId="7" applyFont="1" applyFill="1" applyAlignment="1">
      <alignment horizontal="left"/>
    </xf>
    <xf numFmtId="174" fontId="38" fillId="0" borderId="0" xfId="7"/>
    <xf numFmtId="204" fontId="79" fillId="18" borderId="0" xfId="7" applyNumberFormat="1" applyFont="1" applyFill="1" applyAlignment="1">
      <alignment horizontal="right"/>
    </xf>
    <xf numFmtId="200" fontId="80" fillId="18" borderId="0" xfId="7" applyNumberFormat="1" applyFont="1" applyFill="1"/>
    <xf numFmtId="200" fontId="79" fillId="18" borderId="0" xfId="7" applyNumberFormat="1" applyFont="1" applyFill="1"/>
    <xf numFmtId="200" fontId="79" fillId="18" borderId="0" xfId="7" applyNumberFormat="1" applyFont="1" applyFill="1" applyAlignment="1">
      <alignment horizontal="right"/>
    </xf>
    <xf numFmtId="195" fontId="85" fillId="0" borderId="59" xfId="7" applyNumberFormat="1" applyFont="1" applyBorder="1" applyAlignment="1">
      <alignment horizontal="left"/>
    </xf>
    <xf numFmtId="195" fontId="86" fillId="0" borderId="23" xfId="7" applyNumberFormat="1" applyFont="1" applyBorder="1"/>
    <xf numFmtId="174" fontId="79" fillId="18" borderId="60" xfId="7" applyFont="1" applyFill="1" applyBorder="1"/>
    <xf numFmtId="204" fontId="79" fillId="18" borderId="0" xfId="7" applyNumberFormat="1" applyFont="1" applyFill="1"/>
    <xf numFmtId="195" fontId="79" fillId="0" borderId="61" xfId="7" applyNumberFormat="1" applyFont="1" applyBorder="1"/>
    <xf numFmtId="195" fontId="79" fillId="0" borderId="0" xfId="7" applyNumberFormat="1" applyFont="1"/>
    <xf numFmtId="174" fontId="79" fillId="18" borderId="62" xfId="7" applyFont="1" applyFill="1" applyBorder="1"/>
    <xf numFmtId="174" fontId="80" fillId="18" borderId="0" xfId="7" applyFont="1" applyFill="1" applyAlignment="1">
      <alignment horizontal="right"/>
    </xf>
    <xf numFmtId="200" fontId="86" fillId="18" borderId="0" xfId="7" applyNumberFormat="1" applyFont="1" applyFill="1" applyAlignment="1">
      <alignment horizontal="right"/>
    </xf>
    <xf numFmtId="195" fontId="79" fillId="0" borderId="61" xfId="7" applyNumberFormat="1" applyFont="1" applyBorder="1" applyAlignment="1">
      <alignment horizontal="left"/>
    </xf>
    <xf numFmtId="166" fontId="80" fillId="0" borderId="0" xfId="7" applyNumberFormat="1" applyFont="1"/>
    <xf numFmtId="173" fontId="79" fillId="18" borderId="0" xfId="7" applyNumberFormat="1" applyFont="1" applyFill="1"/>
    <xf numFmtId="205" fontId="79" fillId="18" borderId="0" xfId="7" applyNumberFormat="1" applyFont="1" applyFill="1"/>
    <xf numFmtId="174" fontId="87" fillId="0" borderId="0" xfId="7" applyFont="1"/>
    <xf numFmtId="201" fontId="79" fillId="18" borderId="0" xfId="7" applyNumberFormat="1" applyFont="1" applyFill="1" applyAlignment="1">
      <alignment horizontal="right"/>
    </xf>
    <xf numFmtId="0" fontId="79" fillId="0" borderId="61" xfId="7" applyNumberFormat="1" applyFont="1" applyBorder="1"/>
    <xf numFmtId="205" fontId="79" fillId="0" borderId="0" xfId="7" applyNumberFormat="1" applyFont="1"/>
    <xf numFmtId="166" fontId="79" fillId="0" borderId="0" xfId="7" applyNumberFormat="1" applyFont="1"/>
    <xf numFmtId="174" fontId="79" fillId="18" borderId="61" xfId="7" applyFont="1" applyFill="1" applyBorder="1"/>
    <xf numFmtId="205" fontId="79" fillId="0" borderId="24" xfId="7" applyNumberFormat="1" applyFont="1" applyBorder="1"/>
    <xf numFmtId="195" fontId="80" fillId="0" borderId="61" xfId="7" applyNumberFormat="1" applyFont="1" applyBorder="1" applyAlignment="1">
      <alignment horizontal="left"/>
    </xf>
    <xf numFmtId="205" fontId="80" fillId="0" borderId="0" xfId="7" applyNumberFormat="1" applyFont="1"/>
    <xf numFmtId="174" fontId="86" fillId="18" borderId="0" xfId="7" applyFont="1" applyFill="1" applyAlignment="1">
      <alignment horizontal="right"/>
    </xf>
    <xf numFmtId="174" fontId="88" fillId="18" borderId="61" xfId="7" applyFont="1" applyFill="1" applyBorder="1"/>
    <xf numFmtId="174" fontId="89" fillId="18" borderId="0" xfId="7" applyFont="1" applyFill="1" applyAlignment="1">
      <alignment horizontal="center"/>
    </xf>
    <xf numFmtId="9" fontId="79" fillId="18" borderId="62" xfId="6" applyFont="1" applyFill="1" applyBorder="1" applyAlignment="1">
      <alignment horizontal="left"/>
    </xf>
    <xf numFmtId="174" fontId="88" fillId="18" borderId="63" xfId="7" applyFont="1" applyFill="1" applyBorder="1"/>
    <xf numFmtId="174" fontId="79" fillId="18" borderId="24" xfId="7" applyFont="1" applyFill="1" applyBorder="1"/>
    <xf numFmtId="174" fontId="79" fillId="18" borderId="64" xfId="7" applyFont="1" applyFill="1" applyBorder="1"/>
    <xf numFmtId="197" fontId="79" fillId="18" borderId="0" xfId="7" applyNumberFormat="1" applyFont="1" applyFill="1"/>
    <xf numFmtId="166" fontId="79" fillId="18" borderId="0" xfId="7" applyNumberFormat="1" applyFont="1" applyFill="1" applyAlignment="1">
      <alignment horizontal="right"/>
    </xf>
    <xf numFmtId="174" fontId="90" fillId="18" borderId="0" xfId="7" applyFont="1" applyFill="1"/>
    <xf numFmtId="197" fontId="86" fillId="18" borderId="0" xfId="7" applyNumberFormat="1" applyFont="1" applyFill="1" applyAlignment="1">
      <alignment horizontal="right"/>
    </xf>
    <xf numFmtId="174" fontId="79" fillId="18" borderId="65" xfId="7" applyFont="1" applyFill="1" applyBorder="1"/>
    <xf numFmtId="206" fontId="79" fillId="18" borderId="65" xfId="8" applyNumberFormat="1" applyFont="1" applyFill="1" applyBorder="1" applyProtection="1"/>
    <xf numFmtId="166" fontId="79" fillId="18" borderId="23" xfId="7" applyNumberFormat="1" applyFont="1" applyFill="1" applyBorder="1" applyAlignment="1">
      <alignment horizontal="right"/>
    </xf>
    <xf numFmtId="202" fontId="79" fillId="18" borderId="0" xfId="7" applyNumberFormat="1" applyFont="1" applyFill="1" applyAlignment="1">
      <alignment horizontal="right"/>
    </xf>
    <xf numFmtId="174" fontId="80" fillId="18" borderId="16" xfId="7" applyFont="1" applyFill="1" applyBorder="1" applyAlignment="1">
      <alignment horizontal="left"/>
    </xf>
    <xf numFmtId="202" fontId="80" fillId="18" borderId="14" xfId="7" applyNumberFormat="1" applyFont="1" applyFill="1" applyBorder="1" applyAlignment="1">
      <alignment horizontal="right"/>
    </xf>
    <xf numFmtId="207" fontId="80" fillId="18" borderId="0" xfId="7" applyNumberFormat="1" applyFont="1" applyFill="1" applyAlignment="1">
      <alignment horizontal="right"/>
    </xf>
    <xf numFmtId="170" fontId="79" fillId="18" borderId="0" xfId="7" applyNumberFormat="1" applyFont="1" applyFill="1" applyAlignment="1">
      <alignment horizontal="right"/>
    </xf>
    <xf numFmtId="208" fontId="79" fillId="18" borderId="0" xfId="6" applyNumberFormat="1" applyFont="1" applyFill="1" applyAlignment="1">
      <alignment horizontal="right"/>
    </xf>
    <xf numFmtId="170" fontId="79" fillId="18" borderId="0" xfId="7" applyNumberFormat="1" applyFont="1" applyFill="1" applyAlignment="1">
      <alignment horizontal="center"/>
    </xf>
    <xf numFmtId="166" fontId="80" fillId="18" borderId="0" xfId="7" applyNumberFormat="1" applyFont="1" applyFill="1"/>
    <xf numFmtId="10" fontId="79" fillId="18" borderId="0" xfId="6" applyNumberFormat="1" applyFont="1" applyFill="1"/>
    <xf numFmtId="10" fontId="80" fillId="18" borderId="0" xfId="6" applyNumberFormat="1" applyFont="1" applyFill="1" applyAlignment="1">
      <alignment horizontal="right"/>
    </xf>
    <xf numFmtId="207" fontId="80" fillId="18" borderId="0" xfId="7" applyNumberFormat="1" applyFont="1" applyFill="1"/>
    <xf numFmtId="209" fontId="79" fillId="18" borderId="0" xfId="7" applyNumberFormat="1" applyFont="1" applyFill="1"/>
    <xf numFmtId="174" fontId="79" fillId="18" borderId="0" xfId="7" applyFont="1" applyFill="1" applyAlignment="1">
      <alignment horizontal="left" vertical="center"/>
    </xf>
    <xf numFmtId="174" fontId="86" fillId="18" borderId="0" xfId="7" applyFont="1" applyFill="1"/>
    <xf numFmtId="168" fontId="79" fillId="18" borderId="0" xfId="8" applyFont="1" applyFill="1"/>
    <xf numFmtId="168" fontId="79" fillId="18" borderId="24" xfId="8" applyFont="1" applyFill="1" applyBorder="1"/>
    <xf numFmtId="168" fontId="80" fillId="18" borderId="0" xfId="8" applyFont="1" applyFill="1"/>
    <xf numFmtId="10" fontId="79" fillId="18" borderId="0" xfId="6" applyNumberFormat="1" applyFont="1" applyFill="1" applyAlignment="1">
      <alignment horizontal="left"/>
    </xf>
    <xf numFmtId="200" fontId="21" fillId="18" borderId="65" xfId="7" applyNumberFormat="1" applyFont="1" applyFill="1" applyBorder="1"/>
    <xf numFmtId="204" fontId="21" fillId="18" borderId="65" xfId="7" applyNumberFormat="1" applyFont="1" applyFill="1" applyBorder="1"/>
    <xf numFmtId="174" fontId="21" fillId="18" borderId="65" xfId="7" applyFont="1" applyFill="1" applyBorder="1"/>
    <xf numFmtId="202" fontId="79" fillId="18" borderId="0" xfId="7" applyNumberFormat="1" applyFont="1" applyFill="1"/>
    <xf numFmtId="202" fontId="80" fillId="18" borderId="0" xfId="7" applyNumberFormat="1" applyFont="1" applyFill="1" applyAlignment="1">
      <alignment horizontal="center" vertical="center"/>
    </xf>
    <xf numFmtId="174" fontId="91" fillId="0" borderId="0" xfId="7" applyFont="1"/>
    <xf numFmtId="174" fontId="79" fillId="0" borderId="0" xfId="7" applyFont="1"/>
    <xf numFmtId="174" fontId="79" fillId="0" borderId="0" xfId="7" applyFont="1" applyAlignment="1">
      <alignment horizontal="center" vertical="center"/>
    </xf>
    <xf numFmtId="174" fontId="79" fillId="0" borderId="65" xfId="7" applyFont="1" applyBorder="1"/>
    <xf numFmtId="0" fontId="0" fillId="2" borderId="0" xfId="0" applyFill="1"/>
    <xf numFmtId="174" fontId="80" fillId="18" borderId="0" xfId="7" applyFont="1" applyFill="1" applyAlignment="1">
      <alignment horizontal="center"/>
    </xf>
    <xf numFmtId="170" fontId="16" fillId="2" borderId="0" xfId="0" applyNumberFormat="1" applyFont="1" applyFill="1"/>
    <xf numFmtId="0" fontId="8" fillId="19" borderId="0" xfId="0" applyFont="1" applyFill="1" applyAlignment="1">
      <alignment horizontal="center"/>
    </xf>
    <xf numFmtId="211" fontId="79" fillId="18" borderId="0" xfId="7" applyNumberFormat="1" applyFont="1" applyFill="1"/>
    <xf numFmtId="174" fontId="79" fillId="18" borderId="56" xfId="7" applyFont="1" applyFill="1" applyBorder="1" applyAlignment="1">
      <alignment horizontal="right"/>
    </xf>
    <xf numFmtId="202" fontId="79" fillId="18" borderId="56" xfId="7" applyNumberFormat="1" applyFont="1" applyFill="1" applyBorder="1" applyAlignment="1">
      <alignment horizontal="right"/>
    </xf>
    <xf numFmtId="174" fontId="92" fillId="0" borderId="0" xfId="7" applyFont="1"/>
    <xf numFmtId="174" fontId="93" fillId="0" borderId="65" xfId="7" applyFont="1" applyBorder="1" applyAlignment="1">
      <alignment horizontal="center" vertical="center" wrapText="1"/>
    </xf>
    <xf numFmtId="174" fontId="21" fillId="0" borderId="65" xfId="7" applyFont="1" applyBorder="1" applyAlignment="1">
      <alignment horizontal="center" vertical="center"/>
    </xf>
    <xf numFmtId="2" fontId="21" fillId="0" borderId="65" xfId="7" applyNumberFormat="1" applyFont="1" applyBorder="1" applyAlignment="1">
      <alignment horizontal="center" vertical="center"/>
    </xf>
    <xf numFmtId="0" fontId="11" fillId="2" borderId="45" xfId="3" applyFont="1" applyFill="1" applyBorder="1" applyProtection="1">
      <protection locked="0"/>
    </xf>
    <xf numFmtId="0" fontId="35" fillId="2" borderId="46" xfId="3" applyFont="1" applyFill="1" applyBorder="1" applyProtection="1">
      <protection locked="0"/>
    </xf>
    <xf numFmtId="0" fontId="35" fillId="2" borderId="47" xfId="3" applyFont="1" applyFill="1" applyBorder="1" applyProtection="1">
      <protection locked="0"/>
    </xf>
    <xf numFmtId="170" fontId="6" fillId="2" borderId="26" xfId="0" quotePrefix="1" applyNumberFormat="1" applyFont="1" applyFill="1" applyBorder="1"/>
    <xf numFmtId="0" fontId="41" fillId="2" borderId="68" xfId="0" applyFont="1" applyFill="1" applyBorder="1" applyAlignment="1">
      <alignment wrapText="1"/>
    </xf>
    <xf numFmtId="0" fontId="54" fillId="2" borderId="30" xfId="0" applyFont="1" applyFill="1" applyBorder="1"/>
    <xf numFmtId="0" fontId="54" fillId="2" borderId="21" xfId="0" applyFont="1" applyFill="1" applyBorder="1" applyAlignment="1">
      <alignment horizontal="left"/>
    </xf>
    <xf numFmtId="0" fontId="54" fillId="2" borderId="21" xfId="0" applyFont="1" applyFill="1" applyBorder="1" applyAlignment="1">
      <alignment horizontal="left" wrapText="1"/>
    </xf>
    <xf numFmtId="0" fontId="54" fillId="2" borderId="31" xfId="0" applyFont="1" applyFill="1" applyBorder="1" applyAlignment="1">
      <alignment horizontal="left"/>
    </xf>
    <xf numFmtId="0" fontId="29" fillId="4" borderId="73" xfId="0" applyFont="1" applyFill="1" applyBorder="1"/>
    <xf numFmtId="0" fontId="5" fillId="4" borderId="28" xfId="0" applyFont="1" applyFill="1" applyBorder="1"/>
    <xf numFmtId="0" fontId="5" fillId="4" borderId="74" xfId="0" applyFont="1" applyFill="1" applyBorder="1"/>
    <xf numFmtId="0" fontId="50" fillId="4" borderId="0" xfId="0" applyFont="1" applyFill="1"/>
    <xf numFmtId="0" fontId="49" fillId="4" borderId="0" xfId="0" applyFont="1" applyFill="1"/>
    <xf numFmtId="0" fontId="22" fillId="4" borderId="32" xfId="0" applyFont="1" applyFill="1" applyBorder="1"/>
    <xf numFmtId="0" fontId="3" fillId="4" borderId="33" xfId="0" applyFont="1" applyFill="1" applyBorder="1"/>
    <xf numFmtId="0" fontId="3" fillId="4" borderId="34" xfId="0" applyFont="1" applyFill="1" applyBorder="1"/>
    <xf numFmtId="0" fontId="3" fillId="4" borderId="42" xfId="0" applyFont="1" applyFill="1" applyBorder="1"/>
    <xf numFmtId="0" fontId="3" fillId="4" borderId="43" xfId="0" applyFont="1" applyFill="1" applyBorder="1"/>
    <xf numFmtId="0" fontId="3" fillId="4" borderId="44" xfId="0" applyFont="1" applyFill="1" applyBorder="1"/>
    <xf numFmtId="172" fontId="6" fillId="0" borderId="11" xfId="11" applyNumberFormat="1" applyFont="1" applyBorder="1" applyProtection="1">
      <protection locked="0"/>
    </xf>
    <xf numFmtId="0" fontId="6" fillId="2" borderId="77" xfId="1" applyNumberFormat="1" applyFont="1" applyFill="1" applyBorder="1" applyAlignment="1" applyProtection="1"/>
    <xf numFmtId="0" fontId="6" fillId="2" borderId="78" xfId="1" applyNumberFormat="1" applyFont="1" applyFill="1" applyBorder="1" applyAlignment="1" applyProtection="1"/>
    <xf numFmtId="0" fontId="41" fillId="2" borderId="75" xfId="0" applyFont="1" applyFill="1" applyBorder="1" applyAlignment="1">
      <alignment wrapText="1"/>
    </xf>
    <xf numFmtId="0" fontId="41" fillId="2" borderId="76" xfId="0" applyFont="1" applyFill="1" applyBorder="1" applyAlignment="1">
      <alignment wrapText="1"/>
    </xf>
    <xf numFmtId="0" fontId="6" fillId="2" borderId="12" xfId="1" applyNumberFormat="1" applyFont="1" applyFill="1" applyBorder="1" applyAlignment="1" applyProtection="1"/>
    <xf numFmtId="0" fontId="6" fillId="2" borderId="11" xfId="1" applyNumberFormat="1" applyFont="1" applyFill="1" applyBorder="1" applyAlignment="1" applyProtection="1">
      <protection locked="0"/>
    </xf>
    <xf numFmtId="0" fontId="6" fillId="2" borderId="79" xfId="1" applyNumberFormat="1" applyFont="1" applyFill="1" applyBorder="1" applyAlignment="1" applyProtection="1"/>
    <xf numFmtId="0" fontId="6" fillId="2" borderId="80" xfId="1" applyNumberFormat="1" applyFont="1" applyFill="1" applyBorder="1" applyAlignment="1" applyProtection="1">
      <protection locked="0"/>
    </xf>
    <xf numFmtId="0" fontId="6" fillId="2" borderId="11" xfId="1" applyNumberFormat="1" applyFont="1" applyFill="1" applyBorder="1" applyAlignment="1" applyProtection="1"/>
    <xf numFmtId="0" fontId="5" fillId="2" borderId="11" xfId="1" applyNumberFormat="1" applyFont="1" applyFill="1" applyBorder="1" applyAlignment="1" applyProtection="1"/>
    <xf numFmtId="0" fontId="5" fillId="2" borderId="26" xfId="1" applyNumberFormat="1" applyFont="1" applyFill="1" applyBorder="1" applyAlignment="1" applyProtection="1"/>
    <xf numFmtId="0" fontId="6" fillId="2" borderId="0" xfId="0" applyFont="1" applyFill="1" applyAlignment="1">
      <alignment horizontal="right"/>
    </xf>
    <xf numFmtId="172" fontId="6" fillId="2" borderId="0" xfId="0" applyNumberFormat="1" applyFont="1" applyFill="1" applyAlignment="1" applyProtection="1">
      <alignment horizontal="left"/>
      <protection locked="0"/>
    </xf>
    <xf numFmtId="0" fontId="6" fillId="2" borderId="82" xfId="0" applyFont="1" applyFill="1" applyBorder="1" applyAlignment="1">
      <alignment horizontal="right"/>
    </xf>
    <xf numFmtId="10" fontId="6" fillId="2" borderId="0" xfId="0" applyNumberFormat="1" applyFont="1" applyFill="1"/>
    <xf numFmtId="0" fontId="6" fillId="2" borderId="83" xfId="0" applyFont="1" applyFill="1" applyBorder="1"/>
    <xf numFmtId="0" fontId="6" fillId="2" borderId="84" xfId="0" applyFont="1" applyFill="1" applyBorder="1" applyAlignment="1">
      <alignment horizontal="right"/>
    </xf>
    <xf numFmtId="10" fontId="6" fillId="2" borderId="85" xfId="0" applyNumberFormat="1" applyFont="1" applyFill="1" applyBorder="1"/>
    <xf numFmtId="0" fontId="6" fillId="2" borderId="85" xfId="0" applyFont="1" applyFill="1" applyBorder="1"/>
    <xf numFmtId="0" fontId="6" fillId="2" borderId="10" xfId="0" applyFont="1" applyFill="1" applyBorder="1"/>
    <xf numFmtId="172" fontId="6" fillId="2" borderId="0" xfId="0" applyNumberFormat="1" applyFont="1" applyFill="1" applyAlignment="1">
      <alignment horizontal="right"/>
    </xf>
    <xf numFmtId="173" fontId="6" fillId="2" borderId="38" xfId="2" applyNumberFormat="1" applyFont="1" applyFill="1" applyBorder="1"/>
    <xf numFmtId="171" fontId="6" fillId="2" borderId="4" xfId="1" applyNumberFormat="1" applyFont="1" applyFill="1" applyBorder="1" applyAlignment="1" applyProtection="1">
      <protection locked="0"/>
    </xf>
    <xf numFmtId="171" fontId="6" fillId="2" borderId="9" xfId="1" applyNumberFormat="1" applyFont="1" applyFill="1" applyBorder="1" applyAlignment="1" applyProtection="1">
      <protection locked="0"/>
    </xf>
    <xf numFmtId="171" fontId="6" fillId="2" borderId="38" xfId="1" applyNumberFormat="1" applyFont="1" applyFill="1" applyBorder="1"/>
    <xf numFmtId="0" fontId="94" fillId="0" borderId="0" xfId="0" applyFont="1"/>
    <xf numFmtId="0" fontId="94" fillId="0" borderId="0" xfId="0" applyFont="1" applyAlignment="1">
      <alignment vertical="center"/>
    </xf>
    <xf numFmtId="0" fontId="94" fillId="0" borderId="0" xfId="0" applyFont="1" applyAlignment="1">
      <alignment horizontal="left"/>
    </xf>
    <xf numFmtId="0" fontId="95" fillId="0" borderId="0" xfId="0" applyFont="1" applyAlignment="1">
      <alignment vertical="center"/>
    </xf>
    <xf numFmtId="0" fontId="95" fillId="0" borderId="0" xfId="0" applyFont="1"/>
    <xf numFmtId="0" fontId="96" fillId="20" borderId="87" xfId="0" applyFont="1" applyFill="1" applyBorder="1" applyAlignment="1">
      <alignment vertical="center" wrapText="1"/>
    </xf>
    <xf numFmtId="0" fontId="96" fillId="20" borderId="89" xfId="0" applyFont="1" applyFill="1" applyBorder="1" applyAlignment="1">
      <alignment vertical="center" wrapText="1"/>
    </xf>
    <xf numFmtId="170" fontId="2" fillId="2" borderId="43" xfId="0" applyNumberFormat="1" applyFont="1" applyFill="1" applyBorder="1"/>
    <xf numFmtId="0" fontId="99" fillId="0" borderId="0" xfId="0" applyFont="1" applyAlignment="1">
      <alignment vertical="center"/>
    </xf>
    <xf numFmtId="0" fontId="99" fillId="0" borderId="0" xfId="0" applyFont="1" applyAlignment="1">
      <alignment horizontal="center" vertical="center"/>
    </xf>
    <xf numFmtId="0" fontId="100" fillId="0" borderId="91" xfId="0" applyFont="1" applyBorder="1" applyAlignment="1">
      <alignment vertical="center" wrapText="1"/>
    </xf>
    <xf numFmtId="0" fontId="99" fillId="0" borderId="88" xfId="0" applyFont="1" applyBorder="1" applyAlignment="1">
      <alignment horizontal="center" vertical="center" wrapText="1"/>
    </xf>
    <xf numFmtId="0" fontId="99" fillId="0" borderId="88" xfId="0" applyFont="1" applyBorder="1" applyAlignment="1">
      <alignment vertical="center" wrapText="1"/>
    </xf>
    <xf numFmtId="0" fontId="99" fillId="0" borderId="87" xfId="0" applyFont="1" applyBorder="1" applyAlignment="1">
      <alignment horizontal="center" vertical="center" wrapText="1"/>
    </xf>
    <xf numFmtId="0" fontId="98" fillId="0" borderId="90" xfId="0" applyFont="1" applyBorder="1" applyAlignment="1">
      <alignment vertical="center"/>
    </xf>
    <xf numFmtId="0" fontId="98" fillId="0" borderId="87" xfId="0" applyFont="1" applyBorder="1" applyAlignment="1">
      <alignment vertical="center" wrapText="1"/>
    </xf>
    <xf numFmtId="0" fontId="97" fillId="0" borderId="87" xfId="0" applyFont="1" applyBorder="1" applyAlignment="1" applyProtection="1">
      <alignment horizontal="center" vertical="center" wrapText="1"/>
      <protection locked="0"/>
    </xf>
    <xf numFmtId="0" fontId="98" fillId="0" borderId="0" xfId="0" applyFont="1"/>
    <xf numFmtId="0" fontId="98" fillId="0" borderId="88" xfId="0" applyFont="1" applyBorder="1" applyAlignment="1">
      <alignment vertical="center"/>
    </xf>
    <xf numFmtId="0" fontId="98" fillId="0" borderId="92" xfId="0" applyFont="1" applyBorder="1" applyAlignment="1">
      <alignment vertical="center"/>
    </xf>
    <xf numFmtId="0" fontId="98" fillId="0" borderId="93" xfId="0" applyFont="1" applyBorder="1" applyAlignment="1">
      <alignment vertical="center" wrapText="1"/>
    </xf>
    <xf numFmtId="0" fontId="97" fillId="0" borderId="89" xfId="0" applyFont="1" applyBorder="1" applyAlignment="1" applyProtection="1">
      <alignment horizontal="center" vertical="center" wrapText="1"/>
      <protection locked="0"/>
    </xf>
    <xf numFmtId="0" fontId="98" fillId="0" borderId="88" xfId="0" applyFont="1" applyBorder="1" applyAlignment="1">
      <alignment vertical="center" wrapText="1"/>
    </xf>
    <xf numFmtId="0" fontId="37" fillId="2" borderId="94" xfId="0" applyFont="1" applyFill="1" applyBorder="1" applyAlignment="1">
      <alignment wrapText="1"/>
    </xf>
    <xf numFmtId="0" fontId="37" fillId="2" borderId="98" xfId="0" applyFont="1" applyFill="1" applyBorder="1" applyAlignment="1">
      <alignment wrapText="1"/>
    </xf>
    <xf numFmtId="0" fontId="37" fillId="2" borderId="99" xfId="0" applyFont="1" applyFill="1" applyBorder="1" applyAlignment="1">
      <alignment wrapText="1"/>
    </xf>
    <xf numFmtId="0" fontId="37" fillId="2" borderId="100" xfId="0" applyFont="1" applyFill="1" applyBorder="1" applyAlignment="1">
      <alignment wrapText="1"/>
    </xf>
    <xf numFmtId="0" fontId="37" fillId="2" borderId="72" xfId="0" applyFont="1" applyFill="1" applyBorder="1" applyAlignment="1">
      <alignment horizontal="left" wrapText="1"/>
    </xf>
    <xf numFmtId="0" fontId="37" fillId="2" borderId="101" xfId="0" applyFont="1" applyFill="1" applyBorder="1" applyAlignment="1">
      <alignment wrapText="1"/>
    </xf>
    <xf numFmtId="0" fontId="37" fillId="2" borderId="68" xfId="0" applyFont="1" applyFill="1" applyBorder="1" applyAlignment="1">
      <alignment wrapText="1"/>
    </xf>
    <xf numFmtId="172" fontId="6" fillId="2" borderId="102" xfId="1" applyNumberFormat="1" applyFont="1" applyFill="1" applyBorder="1" applyAlignment="1" applyProtection="1"/>
    <xf numFmtId="172" fontId="6" fillId="2" borderId="103" xfId="1" applyNumberFormat="1" applyFont="1" applyFill="1" applyBorder="1" applyAlignment="1" applyProtection="1"/>
    <xf numFmtId="0" fontId="102" fillId="2" borderId="4" xfId="1" applyNumberFormat="1" applyFont="1" applyFill="1" applyBorder="1" applyAlignment="1" applyProtection="1">
      <protection locked="0"/>
    </xf>
    <xf numFmtId="0" fontId="103" fillId="0" borderId="0" xfId="0" applyFont="1" applyAlignment="1">
      <alignment vertical="center"/>
    </xf>
    <xf numFmtId="0" fontId="0" fillId="0" borderId="104" xfId="0" applyBorder="1"/>
    <xf numFmtId="0" fontId="32" fillId="0" borderId="104" xfId="3" applyFont="1" applyBorder="1" applyProtection="1"/>
    <xf numFmtId="0" fontId="22" fillId="4" borderId="104" xfId="3" applyFont="1" applyFill="1" applyBorder="1" applyProtection="1"/>
    <xf numFmtId="0" fontId="0" fillId="4" borderId="104" xfId="0" applyFill="1" applyBorder="1"/>
    <xf numFmtId="0" fontId="32" fillId="2" borderId="104" xfId="3" applyFont="1" applyFill="1" applyBorder="1" applyProtection="1"/>
    <xf numFmtId="0" fontId="22" fillId="2" borderId="104" xfId="3" applyFont="1" applyFill="1" applyBorder="1" applyProtection="1"/>
    <xf numFmtId="0" fontId="0" fillId="2" borderId="104" xfId="0" applyFill="1" applyBorder="1"/>
    <xf numFmtId="0" fontId="6" fillId="0" borderId="104" xfId="0" applyFont="1" applyBorder="1"/>
    <xf numFmtId="172" fontId="62" fillId="15" borderId="104" xfId="0" applyNumberFormat="1" applyFont="1" applyFill="1" applyBorder="1" applyProtection="1">
      <protection locked="0"/>
    </xf>
    <xf numFmtId="0" fontId="62" fillId="0" borderId="104" xfId="0" applyFont="1" applyBorder="1"/>
    <xf numFmtId="0" fontId="0" fillId="0" borderId="104" xfId="0" applyBorder="1" applyAlignment="1">
      <alignment horizontal="center" vertical="center" wrapText="1"/>
    </xf>
    <xf numFmtId="0" fontId="4" fillId="16" borderId="104" xfId="0" applyFont="1" applyFill="1" applyBorder="1" applyAlignment="1">
      <alignment horizontal="center" vertical="center" wrapText="1"/>
    </xf>
    <xf numFmtId="0" fontId="4" fillId="2" borderId="104" xfId="0" applyFont="1" applyFill="1" applyBorder="1" applyAlignment="1">
      <alignment horizontal="center" vertical="center" wrapText="1"/>
    </xf>
    <xf numFmtId="0" fontId="63" fillId="2" borderId="104" xfId="0" applyFont="1" applyFill="1" applyBorder="1" applyAlignment="1">
      <alignment horizontal="center" vertical="center" wrapText="1"/>
    </xf>
    <xf numFmtId="0" fontId="0" fillId="0" borderId="104" xfId="0" applyBorder="1" applyAlignment="1">
      <alignment horizontal="center" vertical="center"/>
    </xf>
    <xf numFmtId="0" fontId="6" fillId="0" borderId="104" xfId="0" applyFont="1" applyBorder="1" applyAlignment="1">
      <alignment horizontal="center" vertical="center"/>
    </xf>
    <xf numFmtId="2" fontId="6" fillId="0" borderId="104" xfId="0" applyNumberFormat="1" applyFont="1" applyBorder="1" applyAlignment="1" applyProtection="1">
      <alignment horizontal="center" vertical="center"/>
      <protection hidden="1"/>
    </xf>
    <xf numFmtId="0" fontId="6" fillId="0" borderId="104" xfId="0" applyFont="1" applyBorder="1" applyAlignment="1" applyProtection="1">
      <alignment horizontal="center" vertical="center"/>
      <protection hidden="1"/>
    </xf>
    <xf numFmtId="172" fontId="6" fillId="0" borderId="104" xfId="0" applyNumberFormat="1" applyFont="1" applyBorder="1" applyAlignment="1">
      <alignment horizontal="center" vertical="center"/>
    </xf>
    <xf numFmtId="176" fontId="6" fillId="0" borderId="104" xfId="0" applyNumberFormat="1" applyFont="1" applyBorder="1" applyAlignment="1">
      <alignment horizontal="center" vertical="center"/>
    </xf>
    <xf numFmtId="176" fontId="6" fillId="0" borderId="104" xfId="0" applyNumberFormat="1" applyFont="1" applyBorder="1" applyAlignment="1">
      <alignment horizontal="right" vertical="center"/>
    </xf>
    <xf numFmtId="176" fontId="6" fillId="0" borderId="104" xfId="0" applyNumberFormat="1" applyFont="1" applyBorder="1" applyAlignment="1">
      <alignment horizontal="left" vertical="center"/>
    </xf>
    <xf numFmtId="9" fontId="6" fillId="2" borderId="104" xfId="2" applyFont="1" applyFill="1" applyBorder="1" applyAlignment="1" applyProtection="1">
      <alignment horizontal="center" vertical="center"/>
    </xf>
    <xf numFmtId="172" fontId="6" fillId="2" borderId="104" xfId="0" applyNumberFormat="1" applyFont="1" applyFill="1" applyBorder="1" applyAlignment="1">
      <alignment horizontal="center" vertical="center"/>
    </xf>
    <xf numFmtId="177" fontId="6" fillId="0" borderId="104" xfId="0" applyNumberFormat="1" applyFont="1" applyBorder="1" applyAlignment="1">
      <alignment horizontal="center" vertical="center"/>
    </xf>
    <xf numFmtId="177" fontId="6" fillId="0" borderId="104" xfId="0" applyNumberFormat="1" applyFont="1" applyBorder="1" applyAlignment="1">
      <alignment horizontal="right" vertical="center"/>
    </xf>
    <xf numFmtId="177" fontId="6" fillId="0" borderId="104" xfId="0" applyNumberFormat="1" applyFont="1" applyBorder="1" applyAlignment="1">
      <alignment horizontal="left" vertical="center"/>
    </xf>
    <xf numFmtId="178" fontId="6" fillId="0" borderId="104" xfId="0" applyNumberFormat="1" applyFont="1" applyBorder="1" applyAlignment="1">
      <alignment horizontal="center" vertical="center"/>
    </xf>
    <xf numFmtId="178" fontId="6" fillId="0" borderId="104" xfId="0" applyNumberFormat="1" applyFont="1" applyBorder="1" applyAlignment="1">
      <alignment horizontal="right" vertical="center"/>
    </xf>
    <xf numFmtId="178" fontId="6" fillId="0" borderId="104" xfId="0" applyNumberFormat="1" applyFont="1" applyBorder="1" applyAlignment="1">
      <alignment horizontal="left" vertical="center"/>
    </xf>
    <xf numFmtId="179" fontId="6" fillId="0" borderId="104" xfId="0" applyNumberFormat="1" applyFont="1" applyBorder="1" applyAlignment="1">
      <alignment horizontal="center" vertical="center"/>
    </xf>
    <xf numFmtId="179" fontId="6" fillId="0" borderId="104" xfId="0" applyNumberFormat="1" applyFont="1" applyBorder="1" applyAlignment="1">
      <alignment horizontal="right" vertical="center"/>
    </xf>
    <xf numFmtId="179" fontId="6" fillId="0" borderId="104" xfId="0" applyNumberFormat="1" applyFont="1" applyBorder="1" applyAlignment="1">
      <alignment horizontal="left" vertical="center"/>
    </xf>
    <xf numFmtId="180" fontId="6" fillId="0" borderId="104" xfId="0" applyNumberFormat="1" applyFont="1" applyBorder="1" applyAlignment="1">
      <alignment horizontal="center" vertical="center"/>
    </xf>
    <xf numFmtId="180" fontId="6" fillId="0" borderId="104" xfId="0" applyNumberFormat="1" applyFont="1" applyBorder="1" applyAlignment="1">
      <alignment horizontal="right" vertical="center"/>
    </xf>
    <xf numFmtId="180" fontId="6" fillId="0" borderId="104" xfId="0" applyNumberFormat="1" applyFont="1" applyBorder="1" applyAlignment="1">
      <alignment horizontal="left" vertical="center"/>
    </xf>
    <xf numFmtId="181" fontId="6" fillId="0" borderId="104" xfId="0" applyNumberFormat="1" applyFont="1" applyBorder="1" applyAlignment="1">
      <alignment horizontal="center" vertical="center"/>
    </xf>
    <xf numFmtId="181" fontId="6" fillId="0" borderId="104" xfId="0" applyNumberFormat="1" applyFont="1" applyBorder="1" applyAlignment="1">
      <alignment horizontal="right" vertical="center"/>
    </xf>
    <xf numFmtId="181" fontId="6" fillId="0" borderId="104" xfId="0" applyNumberFormat="1" applyFont="1" applyBorder="1" applyAlignment="1">
      <alignment horizontal="left" vertical="center"/>
    </xf>
    <xf numFmtId="182" fontId="6" fillId="0" borderId="104" xfId="0" applyNumberFormat="1" applyFont="1" applyBorder="1" applyAlignment="1">
      <alignment horizontal="center" vertical="center"/>
    </xf>
    <xf numFmtId="182" fontId="6" fillId="0" borderId="104" xfId="0" applyNumberFormat="1" applyFont="1" applyBorder="1" applyAlignment="1">
      <alignment horizontal="right" vertical="center"/>
    </xf>
    <xf numFmtId="182" fontId="6" fillId="0" borderId="104" xfId="0" applyNumberFormat="1" applyFont="1" applyBorder="1" applyAlignment="1">
      <alignment horizontal="left" vertical="center"/>
    </xf>
    <xf numFmtId="183" fontId="6" fillId="0" borderId="104" xfId="0" applyNumberFormat="1" applyFont="1" applyBorder="1" applyAlignment="1">
      <alignment horizontal="center" vertical="center"/>
    </xf>
    <xf numFmtId="183" fontId="6" fillId="0" borderId="104" xfId="0" applyNumberFormat="1" applyFont="1" applyBorder="1" applyAlignment="1">
      <alignment horizontal="right" vertical="center"/>
    </xf>
    <xf numFmtId="183" fontId="6" fillId="0" borderId="104" xfId="0" applyNumberFormat="1" applyFont="1" applyBorder="1" applyAlignment="1">
      <alignment horizontal="left" vertical="center"/>
    </xf>
    <xf numFmtId="184" fontId="6" fillId="0" borderId="104" xfId="0" applyNumberFormat="1" applyFont="1" applyBorder="1" applyAlignment="1">
      <alignment horizontal="center" vertical="center"/>
    </xf>
    <xf numFmtId="184" fontId="6" fillId="0" borderId="104" xfId="0" applyNumberFormat="1" applyFont="1" applyBorder="1" applyAlignment="1">
      <alignment horizontal="right" vertical="center"/>
    </xf>
    <xf numFmtId="184" fontId="6" fillId="0" borderId="104" xfId="0" applyNumberFormat="1" applyFont="1" applyBorder="1" applyAlignment="1">
      <alignment horizontal="left" vertical="center"/>
    </xf>
    <xf numFmtId="0" fontId="64" fillId="0" borderId="104" xfId="0" applyFont="1" applyBorder="1" applyAlignment="1">
      <alignment horizontal="left" vertical="center"/>
    </xf>
    <xf numFmtId="0" fontId="2" fillId="2" borderId="104" xfId="0" applyFont="1" applyFill="1" applyBorder="1"/>
    <xf numFmtId="0" fontId="3" fillId="2" borderId="104" xfId="0" applyFont="1" applyFill="1" applyBorder="1"/>
    <xf numFmtId="185" fontId="0" fillId="2" borderId="104" xfId="0" applyNumberFormat="1" applyFill="1" applyBorder="1"/>
    <xf numFmtId="186" fontId="2" fillId="2" borderId="104" xfId="0" applyNumberFormat="1" applyFont="1" applyFill="1" applyBorder="1"/>
    <xf numFmtId="1" fontId="2" fillId="2" borderId="104" xfId="0" applyNumberFormat="1" applyFont="1" applyFill="1" applyBorder="1"/>
    <xf numFmtId="9" fontId="0" fillId="2" borderId="104" xfId="2" applyFont="1" applyFill="1" applyBorder="1" applyProtection="1"/>
    <xf numFmtId="168" fontId="2" fillId="2" borderId="104" xfId="11" applyFont="1" applyFill="1" applyBorder="1" applyProtection="1"/>
    <xf numFmtId="187" fontId="2" fillId="2" borderId="104" xfId="0" applyNumberFormat="1" applyFont="1" applyFill="1" applyBorder="1"/>
    <xf numFmtId="188" fontId="2" fillId="2" borderId="104" xfId="0" applyNumberFormat="1" applyFont="1" applyFill="1" applyBorder="1"/>
    <xf numFmtId="189" fontId="2" fillId="2" borderId="104" xfId="0" applyNumberFormat="1" applyFont="1" applyFill="1" applyBorder="1"/>
    <xf numFmtId="190" fontId="2" fillId="2" borderId="104" xfId="0" applyNumberFormat="1" applyFont="1" applyFill="1" applyBorder="1"/>
    <xf numFmtId="191" fontId="2" fillId="2" borderId="104" xfId="0" applyNumberFormat="1" applyFont="1" applyFill="1" applyBorder="1"/>
    <xf numFmtId="192" fontId="2" fillId="2" borderId="104" xfId="0" applyNumberFormat="1" applyFont="1" applyFill="1" applyBorder="1"/>
    <xf numFmtId="0" fontId="5" fillId="0" borderId="104" xfId="5" applyFont="1" applyBorder="1"/>
    <xf numFmtId="0" fontId="32" fillId="0" borderId="104" xfId="3" applyFont="1" applyBorder="1"/>
    <xf numFmtId="0" fontId="67" fillId="0" borderId="104" xfId="5" applyFont="1" applyBorder="1"/>
    <xf numFmtId="0" fontId="5" fillId="0" borderId="104" xfId="5" applyFont="1" applyBorder="1" applyAlignment="1">
      <alignment horizontal="left"/>
    </xf>
    <xf numFmtId="170" fontId="5" fillId="0" borderId="104" xfId="5" applyNumberFormat="1" applyFont="1" applyBorder="1" applyAlignment="1">
      <alignment horizontal="right"/>
    </xf>
    <xf numFmtId="0" fontId="5" fillId="0" borderId="104" xfId="5" applyFont="1" applyBorder="1" applyAlignment="1">
      <alignment horizontal="left" wrapText="1"/>
    </xf>
    <xf numFmtId="0" fontId="6" fillId="0" borderId="104" xfId="5" applyFont="1" applyBorder="1" applyAlignment="1">
      <alignment horizontal="left"/>
    </xf>
    <xf numFmtId="193" fontId="6" fillId="0" borderId="104" xfId="5" applyNumberFormat="1" applyFont="1" applyBorder="1" applyAlignment="1">
      <alignment horizontal="right"/>
    </xf>
    <xf numFmtId="0" fontId="70" fillId="0" borderId="104" xfId="5" applyFont="1" applyBorder="1"/>
    <xf numFmtId="0" fontId="71" fillId="0" borderId="104" xfId="5" applyFont="1" applyBorder="1"/>
    <xf numFmtId="0" fontId="7" fillId="0" borderId="104" xfId="5" applyFont="1" applyBorder="1" applyAlignment="1">
      <alignment horizontal="left"/>
    </xf>
    <xf numFmtId="0" fontId="74" fillId="0" borderId="104" xfId="5" applyFont="1" applyBorder="1"/>
    <xf numFmtId="8" fontId="5" fillId="0" borderId="104" xfId="5" applyNumberFormat="1" applyFont="1" applyBorder="1" applyAlignment="1">
      <alignment horizontal="right"/>
    </xf>
    <xf numFmtId="8" fontId="6" fillId="0" borderId="104" xfId="5" applyNumberFormat="1" applyFont="1" applyBorder="1" applyAlignment="1">
      <alignment horizontal="right"/>
    </xf>
    <xf numFmtId="170" fontId="7" fillId="17" borderId="104" xfId="5" applyNumberFormat="1" applyFont="1" applyFill="1" applyBorder="1" applyAlignment="1" applyProtection="1">
      <alignment horizontal="right"/>
      <protection locked="0"/>
    </xf>
    <xf numFmtId="4" fontId="7" fillId="17" borderId="104" xfId="5" applyNumberFormat="1" applyFont="1" applyFill="1" applyBorder="1" applyAlignment="1" applyProtection="1">
      <alignment horizontal="right"/>
      <protection locked="0"/>
    </xf>
    <xf numFmtId="194" fontId="5" fillId="0" borderId="104" xfId="5" applyNumberFormat="1" applyFont="1" applyBorder="1" applyAlignment="1">
      <alignment horizontal="right"/>
    </xf>
    <xf numFmtId="0" fontId="7" fillId="0" borderId="104" xfId="5" applyFont="1" applyBorder="1" applyAlignment="1">
      <alignment horizontal="left" wrapText="1"/>
    </xf>
    <xf numFmtId="194" fontId="7" fillId="17" borderId="104" xfId="5" applyNumberFormat="1" applyFont="1" applyFill="1" applyBorder="1" applyAlignment="1" applyProtection="1">
      <alignment horizontal="right"/>
      <protection locked="0"/>
    </xf>
    <xf numFmtId="8" fontId="7" fillId="0" borderId="104" xfId="5" applyNumberFormat="1" applyFont="1" applyBorder="1"/>
    <xf numFmtId="9" fontId="7" fillId="17" borderId="104" xfId="6" applyFont="1" applyFill="1" applyBorder="1" applyProtection="1">
      <protection locked="0"/>
    </xf>
    <xf numFmtId="194" fontId="6" fillId="0" borderId="104" xfId="5" applyNumberFormat="1" applyFont="1" applyBorder="1" applyAlignment="1">
      <alignment horizontal="right"/>
    </xf>
    <xf numFmtId="8" fontId="8" fillId="0" borderId="104" xfId="5" applyNumberFormat="1" applyFont="1" applyBorder="1"/>
    <xf numFmtId="9" fontId="8" fillId="17" borderId="104" xfId="6" applyFont="1" applyFill="1" applyBorder="1" applyProtection="1">
      <protection locked="0"/>
    </xf>
    <xf numFmtId="8" fontId="5" fillId="0" borderId="104" xfId="5" applyNumberFormat="1" applyFont="1" applyBorder="1"/>
    <xf numFmtId="170" fontId="5" fillId="2" borderId="104" xfId="6" applyNumberFormat="1" applyFont="1" applyFill="1" applyBorder="1"/>
    <xf numFmtId="0" fontId="4" fillId="21" borderId="0" xfId="0" applyFont="1" applyFill="1" applyAlignment="1">
      <alignment horizontal="center" vertical="center" wrapText="1"/>
    </xf>
    <xf numFmtId="0" fontId="63" fillId="21" borderId="0" xfId="0" applyFont="1" applyFill="1" applyAlignment="1">
      <alignment horizontal="center" vertical="center" wrapText="1"/>
    </xf>
    <xf numFmtId="9" fontId="6" fillId="0" borderId="105" xfId="2" applyFont="1" applyBorder="1" applyAlignment="1">
      <alignment horizontal="center" vertical="center"/>
    </xf>
    <xf numFmtId="172" fontId="6" fillId="0" borderId="105" xfId="0" applyNumberFormat="1" applyFont="1" applyBorder="1" applyAlignment="1">
      <alignment horizontal="center" vertical="center"/>
    </xf>
    <xf numFmtId="9" fontId="6" fillId="10" borderId="105" xfId="2" applyFont="1" applyFill="1" applyBorder="1" applyAlignment="1">
      <alignment horizontal="center" vertical="center"/>
    </xf>
    <xf numFmtId="172" fontId="6" fillId="10" borderId="105" xfId="0" applyNumberFormat="1" applyFont="1" applyFill="1" applyBorder="1" applyAlignment="1">
      <alignment horizontal="center" vertical="center"/>
    </xf>
    <xf numFmtId="173" fontId="6" fillId="0" borderId="105" xfId="2" applyNumberFormat="1" applyFont="1" applyBorder="1" applyAlignment="1">
      <alignment horizontal="center" vertical="center"/>
    </xf>
    <xf numFmtId="0" fontId="104" fillId="0" borderId="0" xfId="0" applyFont="1"/>
    <xf numFmtId="172" fontId="6" fillId="15" borderId="105" xfId="0" applyNumberFormat="1" applyFont="1" applyFill="1" applyBorder="1" applyAlignment="1" applyProtection="1">
      <alignment horizontal="center" vertical="center"/>
      <protection locked="0"/>
    </xf>
    <xf numFmtId="0" fontId="0" fillId="0" borderId="0" xfId="0" applyAlignment="1">
      <alignment horizontal="center" wrapText="1"/>
    </xf>
    <xf numFmtId="0" fontId="106" fillId="0" borderId="104" xfId="5" applyFont="1" applyBorder="1"/>
    <xf numFmtId="0" fontId="23" fillId="0" borderId="104" xfId="5" applyFont="1" applyBorder="1" applyAlignment="1">
      <alignment horizontal="left" wrapText="1"/>
    </xf>
    <xf numFmtId="0" fontId="107" fillId="0" borderId="104" xfId="5" applyFont="1" applyBorder="1"/>
    <xf numFmtId="0" fontId="6" fillId="0" borderId="104" xfId="5" applyFont="1" applyBorder="1" applyAlignment="1">
      <alignment horizontal="left" wrapText="1"/>
    </xf>
    <xf numFmtId="212" fontId="6" fillId="0" borderId="104" xfId="5" applyNumberFormat="1" applyFont="1" applyBorder="1" applyAlignment="1">
      <alignment horizontal="right"/>
    </xf>
    <xf numFmtId="0" fontId="106" fillId="0" borderId="0" xfId="0" applyFont="1" applyAlignment="1">
      <alignment horizontal="left"/>
    </xf>
    <xf numFmtId="0" fontId="11" fillId="0" borderId="104" xfId="5" applyFont="1" applyBorder="1"/>
    <xf numFmtId="0" fontId="106" fillId="0" borderId="0" xfId="0" applyFont="1"/>
    <xf numFmtId="0" fontId="108" fillId="22" borderId="106" xfId="0" applyFont="1" applyFill="1" applyBorder="1" applyAlignment="1">
      <alignment horizontal="left" vertical="top" wrapText="1"/>
    </xf>
    <xf numFmtId="0" fontId="109" fillId="22" borderId="107" xfId="0" applyFont="1" applyFill="1" applyBorder="1" applyAlignment="1">
      <alignment horizontal="left" vertical="center" wrapText="1"/>
    </xf>
    <xf numFmtId="0" fontId="15" fillId="22" borderId="108" xfId="3" applyFill="1" applyBorder="1" applyAlignment="1">
      <alignment horizontal="left" vertical="center" wrapText="1"/>
    </xf>
    <xf numFmtId="0" fontId="109" fillId="22" borderId="109" xfId="0" applyFont="1" applyFill="1" applyBorder="1" applyAlignment="1">
      <alignment horizontal="left" vertical="center" wrapText="1"/>
    </xf>
    <xf numFmtId="0" fontId="15" fillId="22" borderId="106" xfId="3" applyFill="1" applyBorder="1" applyAlignment="1">
      <alignment horizontal="left" vertical="center" wrapText="1"/>
    </xf>
    <xf numFmtId="0" fontId="110" fillId="22" borderId="106" xfId="0" applyFont="1" applyFill="1" applyBorder="1" applyAlignment="1">
      <alignment horizontal="left" vertical="top" wrapText="1"/>
    </xf>
    <xf numFmtId="0" fontId="110" fillId="22" borderId="0" xfId="0" applyFont="1" applyFill="1" applyAlignment="1">
      <alignment horizontal="left" vertical="center" wrapText="1"/>
    </xf>
    <xf numFmtId="0" fontId="15" fillId="22" borderId="106" xfId="3" applyFill="1" applyBorder="1" applyAlignment="1">
      <alignment horizontal="left" vertical="top" wrapText="1"/>
    </xf>
    <xf numFmtId="0" fontId="110" fillId="22" borderId="109" xfId="0" applyFont="1" applyFill="1" applyBorder="1" applyAlignment="1">
      <alignment horizontal="left" vertical="center" wrapText="1"/>
    </xf>
    <xf numFmtId="0" fontId="33" fillId="0" borderId="0" xfId="5"/>
    <xf numFmtId="0" fontId="111" fillId="0" borderId="0" xfId="5" applyFont="1"/>
    <xf numFmtId="0" fontId="112" fillId="0" borderId="110" xfId="5" applyFont="1" applyBorder="1" applyAlignment="1">
      <alignment horizontal="center" vertical="center" wrapText="1"/>
    </xf>
    <xf numFmtId="0" fontId="112" fillId="0" borderId="13" xfId="5" applyFont="1" applyBorder="1" applyAlignment="1">
      <alignment horizontal="center" vertical="center" wrapText="1"/>
    </xf>
    <xf numFmtId="0" fontId="33" fillId="0" borderId="81" xfId="5" applyBorder="1"/>
    <xf numFmtId="0" fontId="33" fillId="0" borderId="82" xfId="5" applyBorder="1"/>
    <xf numFmtId="9" fontId="33" fillId="0" borderId="0" xfId="5" applyNumberFormat="1"/>
    <xf numFmtId="9" fontId="33" fillId="0" borderId="111" xfId="6" applyFont="1" applyBorder="1" applyAlignment="1">
      <alignment horizontal="center"/>
    </xf>
    <xf numFmtId="9" fontId="0" fillId="0" borderId="83" xfId="6" applyFont="1" applyBorder="1" applyAlignment="1">
      <alignment horizontal="center"/>
    </xf>
    <xf numFmtId="3" fontId="33" fillId="0" borderId="111" xfId="5" applyNumberFormat="1" applyBorder="1" applyAlignment="1">
      <alignment horizontal="center"/>
    </xf>
    <xf numFmtId="0" fontId="114" fillId="18" borderId="112" xfId="5" applyFont="1" applyFill="1" applyBorder="1"/>
    <xf numFmtId="0" fontId="114" fillId="18" borderId="113" xfId="5" applyFont="1" applyFill="1" applyBorder="1"/>
    <xf numFmtId="213" fontId="33" fillId="0" borderId="111" xfId="5" applyNumberFormat="1" applyBorder="1"/>
    <xf numFmtId="2" fontId="33" fillId="0" borderId="111" xfId="5" applyNumberFormat="1" applyBorder="1"/>
    <xf numFmtId="2" fontId="33" fillId="0" borderId="111" xfId="5" applyNumberFormat="1" applyBorder="1" applyAlignment="1">
      <alignment horizontal="center"/>
    </xf>
    <xf numFmtId="2" fontId="33" fillId="0" borderId="83" xfId="5" applyNumberFormat="1" applyBorder="1" applyAlignment="1">
      <alignment horizontal="center"/>
    </xf>
    <xf numFmtId="0" fontId="114" fillId="18" borderId="114" xfId="5" applyFont="1" applyFill="1" applyBorder="1"/>
    <xf numFmtId="0" fontId="114" fillId="18" borderId="115" xfId="5" applyFont="1" applyFill="1" applyBorder="1"/>
    <xf numFmtId="9" fontId="33" fillId="0" borderId="0" xfId="6"/>
    <xf numFmtId="0" fontId="114" fillId="0" borderId="0" xfId="5" applyFont="1"/>
    <xf numFmtId="213" fontId="114" fillId="0" borderId="0" xfId="5" applyNumberFormat="1" applyFont="1"/>
    <xf numFmtId="9" fontId="114" fillId="0" borderId="0" xfId="6" applyFont="1"/>
    <xf numFmtId="0" fontId="33" fillId="23" borderId="16" xfId="5" applyFill="1" applyBorder="1"/>
    <xf numFmtId="213" fontId="33" fillId="23" borderId="13" xfId="5" applyNumberFormat="1" applyFill="1" applyBorder="1"/>
    <xf numFmtId="3" fontId="33" fillId="23" borderId="13" xfId="5" applyNumberFormat="1" applyFill="1" applyBorder="1" applyAlignment="1">
      <alignment horizontal="center"/>
    </xf>
    <xf numFmtId="1" fontId="113" fillId="23" borderId="13" xfId="5" applyNumberFormat="1" applyFont="1" applyFill="1" applyBorder="1" applyAlignment="1">
      <alignment horizontal="center"/>
    </xf>
    <xf numFmtId="213" fontId="33" fillId="0" borderId="111" xfId="12" applyNumberFormat="1" applyFont="1" applyBorder="1"/>
    <xf numFmtId="3" fontId="33" fillId="0" borderId="68" xfId="5" applyNumberFormat="1" applyBorder="1" applyAlignment="1">
      <alignment horizontal="center"/>
    </xf>
    <xf numFmtId="9" fontId="113" fillId="0" borderId="111" xfId="6" applyFont="1" applyBorder="1" applyAlignment="1">
      <alignment horizontal="center"/>
    </xf>
    <xf numFmtId="9" fontId="33" fillId="0" borderId="111" xfId="6" applyFont="1" applyBorder="1"/>
    <xf numFmtId="9" fontId="33" fillId="0" borderId="83" xfId="6" applyBorder="1" applyAlignment="1">
      <alignment horizontal="center"/>
    </xf>
    <xf numFmtId="3" fontId="33" fillId="0" borderId="83" xfId="5" applyNumberFormat="1" applyBorder="1" applyAlignment="1">
      <alignment horizontal="center"/>
    </xf>
    <xf numFmtId="2" fontId="33" fillId="0" borderId="0" xfId="5" applyNumberFormat="1"/>
    <xf numFmtId="2" fontId="113" fillId="0" borderId="111" xfId="5" applyNumberFormat="1" applyFont="1" applyBorder="1" applyAlignment="1">
      <alignment horizontal="center"/>
    </xf>
    <xf numFmtId="214" fontId="33" fillId="23" borderId="13" xfId="5" applyNumberFormat="1" applyFill="1" applyBorder="1"/>
    <xf numFmtId="2" fontId="113" fillId="23" borderId="14" xfId="5" applyNumberFormat="1" applyFont="1" applyFill="1" applyBorder="1" applyAlignment="1">
      <alignment horizontal="center"/>
    </xf>
    <xf numFmtId="2" fontId="33" fillId="23" borderId="14" xfId="5" applyNumberFormat="1" applyFill="1" applyBorder="1" applyAlignment="1">
      <alignment horizontal="center"/>
    </xf>
    <xf numFmtId="173" fontId="115" fillId="0" borderId="0" xfId="6" applyNumberFormat="1" applyFont="1"/>
    <xf numFmtId="0" fontId="116" fillId="0" borderId="104" xfId="5" applyFont="1" applyBorder="1"/>
    <xf numFmtId="215" fontId="6" fillId="0" borderId="104" xfId="5" applyNumberFormat="1" applyFont="1" applyBorder="1" applyAlignment="1">
      <alignment horizontal="right"/>
    </xf>
    <xf numFmtId="216" fontId="5" fillId="0" borderId="104" xfId="5" applyNumberFormat="1" applyFont="1" applyBorder="1" applyAlignment="1">
      <alignment horizontal="right"/>
    </xf>
    <xf numFmtId="0" fontId="5" fillId="0" borderId="124" xfId="5" applyFont="1" applyBorder="1" applyAlignment="1">
      <alignment horizontal="left" vertical="top" wrapText="1"/>
    </xf>
    <xf numFmtId="0" fontId="5" fillId="0" borderId="122" xfId="5" applyFont="1" applyBorder="1" applyAlignment="1">
      <alignment horizontal="right" vertical="top" wrapText="1"/>
    </xf>
    <xf numFmtId="0" fontId="6" fillId="0" borderId="116" xfId="5" applyFont="1" applyBorder="1" applyAlignment="1">
      <alignment horizontal="left"/>
    </xf>
    <xf numFmtId="0" fontId="6" fillId="0" borderId="117" xfId="5" applyFont="1" applyBorder="1" applyAlignment="1">
      <alignment horizontal="left"/>
    </xf>
    <xf numFmtId="0" fontId="5" fillId="0" borderId="117" xfId="5" applyFont="1" applyBorder="1"/>
    <xf numFmtId="0" fontId="5" fillId="0" borderId="118" xfId="5" applyFont="1" applyBorder="1"/>
    <xf numFmtId="216" fontId="5" fillId="0" borderId="104" xfId="5" applyNumberFormat="1" applyFont="1" applyBorder="1"/>
    <xf numFmtId="217" fontId="5" fillId="0" borderId="104" xfId="5" applyNumberFormat="1" applyFont="1" applyBorder="1" applyAlignment="1">
      <alignment horizontal="right"/>
    </xf>
    <xf numFmtId="217" fontId="7" fillId="17" borderId="104" xfId="5" applyNumberFormat="1" applyFont="1" applyFill="1" applyBorder="1" applyAlignment="1" applyProtection="1">
      <alignment horizontal="right"/>
      <protection locked="0"/>
    </xf>
    <xf numFmtId="217" fontId="6" fillId="0" borderId="104" xfId="5" applyNumberFormat="1" applyFont="1" applyBorder="1" applyAlignment="1">
      <alignment horizontal="right"/>
    </xf>
    <xf numFmtId="0" fontId="5" fillId="0" borderId="104" xfId="5" applyFont="1" applyBorder="1" applyAlignment="1">
      <alignment horizontal="center"/>
    </xf>
    <xf numFmtId="0" fontId="0" fillId="24" borderId="128" xfId="0" applyFill="1" applyBorder="1" applyAlignment="1">
      <alignment vertical="top" wrapText="1"/>
    </xf>
    <xf numFmtId="0" fontId="121" fillId="0" borderId="131" xfId="0" applyFont="1" applyBorder="1" applyAlignment="1">
      <alignment horizontal="center" vertical="center" wrapText="1"/>
    </xf>
    <xf numFmtId="0" fontId="121" fillId="0" borderId="130" xfId="0" applyFont="1" applyBorder="1" applyAlignment="1">
      <alignment horizontal="center" vertical="center" wrapText="1"/>
    </xf>
    <xf numFmtId="0" fontId="119" fillId="0" borderId="132" xfId="0" applyFont="1" applyBorder="1" applyAlignment="1">
      <alignment vertical="center" wrapText="1"/>
    </xf>
    <xf numFmtId="0" fontId="119" fillId="0" borderId="129" xfId="0" applyFont="1" applyBorder="1" applyAlignment="1">
      <alignment vertical="center" wrapText="1"/>
    </xf>
    <xf numFmtId="0" fontId="122" fillId="0" borderId="132" xfId="0" applyFont="1" applyBorder="1" applyAlignment="1">
      <alignment vertical="center" wrapText="1"/>
    </xf>
    <xf numFmtId="0" fontId="120" fillId="24" borderId="0" xfId="0" applyFont="1" applyFill="1" applyAlignment="1">
      <alignment vertical="center" wrapText="1"/>
    </xf>
    <xf numFmtId="0" fontId="0" fillId="24" borderId="0" xfId="0" applyFill="1" applyAlignment="1">
      <alignment vertical="top" wrapText="1"/>
    </xf>
    <xf numFmtId="0" fontId="119" fillId="0" borderId="135" xfId="0" applyFont="1" applyBorder="1" applyAlignment="1">
      <alignment vertical="center" wrapText="1"/>
    </xf>
    <xf numFmtId="0" fontId="119" fillId="0" borderId="136" xfId="0" applyFont="1" applyBorder="1" applyAlignment="1">
      <alignment vertical="center" wrapText="1"/>
    </xf>
    <xf numFmtId="0" fontId="123" fillId="0" borderId="104" xfId="5" applyFont="1" applyBorder="1"/>
    <xf numFmtId="0" fontId="121" fillId="0" borderId="125" xfId="0" applyFont="1" applyBorder="1" applyAlignment="1">
      <alignment vertical="center" wrapText="1"/>
    </xf>
    <xf numFmtId="0" fontId="121" fillId="0" borderId="142" xfId="0" applyFont="1" applyBorder="1" applyAlignment="1">
      <alignment vertical="center" wrapText="1"/>
    </xf>
    <xf numFmtId="0" fontId="119" fillId="0" borderId="128" xfId="0" applyFont="1" applyBorder="1" applyAlignment="1">
      <alignment vertical="center" wrapText="1"/>
    </xf>
    <xf numFmtId="0" fontId="124" fillId="0" borderId="104" xfId="5" applyFont="1" applyBorder="1"/>
    <xf numFmtId="218" fontId="5" fillId="0" borderId="104" xfId="5" applyNumberFormat="1" applyFont="1" applyBorder="1" applyAlignment="1">
      <alignment horizontal="right"/>
    </xf>
    <xf numFmtId="9" fontId="5" fillId="0" borderId="104" xfId="2" applyFont="1" applyBorder="1" applyAlignment="1">
      <alignment horizontal="right"/>
    </xf>
    <xf numFmtId="219" fontId="5" fillId="0" borderId="104" xfId="5" applyNumberFormat="1" applyFont="1" applyBorder="1" applyAlignment="1">
      <alignment horizontal="right"/>
    </xf>
    <xf numFmtId="219" fontId="5" fillId="25" borderId="104" xfId="5" applyNumberFormat="1" applyFont="1" applyFill="1" applyBorder="1" applyAlignment="1">
      <alignment horizontal="right"/>
    </xf>
    <xf numFmtId="170" fontId="123" fillId="0" borderId="104" xfId="5" applyNumberFormat="1" applyFont="1" applyBorder="1"/>
    <xf numFmtId="220" fontId="6" fillId="0" borderId="104" xfId="5" applyNumberFormat="1" applyFont="1" applyBorder="1" applyAlignment="1">
      <alignment horizontal="left"/>
    </xf>
    <xf numFmtId="0" fontId="2" fillId="0" borderId="104" xfId="5" applyFont="1" applyBorder="1"/>
    <xf numFmtId="174" fontId="93" fillId="18" borderId="0" xfId="7" applyFont="1" applyFill="1" applyAlignment="1">
      <alignment horizontal="center"/>
    </xf>
    <xf numFmtId="174" fontId="125" fillId="18" borderId="0" xfId="7" applyFont="1" applyFill="1"/>
    <xf numFmtId="174" fontId="126" fillId="18" borderId="0" xfId="7" applyFont="1" applyFill="1" applyAlignment="1">
      <alignment horizontal="left"/>
    </xf>
    <xf numFmtId="196" fontId="88" fillId="18" borderId="0" xfId="7" applyNumberFormat="1" applyFont="1" applyFill="1" applyAlignment="1">
      <alignment horizontal="left"/>
    </xf>
    <xf numFmtId="211" fontId="80" fillId="18" borderId="0" xfId="7" applyNumberFormat="1" applyFont="1" applyFill="1" applyAlignment="1">
      <alignment horizontal="right"/>
    </xf>
    <xf numFmtId="174" fontId="80" fillId="26" borderId="81" xfId="7" applyFont="1" applyFill="1" applyBorder="1"/>
    <xf numFmtId="174" fontId="80" fillId="26" borderId="72" xfId="7" applyFont="1" applyFill="1" applyBorder="1"/>
    <xf numFmtId="203" fontId="80" fillId="26" borderId="68" xfId="7" applyNumberFormat="1" applyFont="1" applyFill="1" applyBorder="1" applyAlignment="1">
      <alignment horizontal="right"/>
    </xf>
    <xf numFmtId="174" fontId="79" fillId="18" borderId="81" xfId="7" applyFont="1" applyFill="1" applyBorder="1" applyAlignment="1">
      <alignment horizontal="left"/>
    </xf>
    <xf numFmtId="174" fontId="79" fillId="18" borderId="72" xfId="7" applyFont="1" applyFill="1" applyBorder="1"/>
    <xf numFmtId="200" fontId="79" fillId="18" borderId="68" xfId="7" applyNumberFormat="1" applyFont="1" applyFill="1" applyBorder="1" applyAlignment="1">
      <alignment horizontal="right"/>
    </xf>
    <xf numFmtId="174" fontId="80" fillId="26" borderId="82" xfId="7" applyFont="1" applyFill="1" applyBorder="1" applyAlignment="1">
      <alignment horizontal="left"/>
    </xf>
    <xf numFmtId="174" fontId="88" fillId="26" borderId="0" xfId="7" applyFont="1" applyFill="1" applyAlignment="1">
      <alignment horizontal="right"/>
    </xf>
    <xf numFmtId="2" fontId="80" fillId="26" borderId="83" xfId="7" applyNumberFormat="1" applyFont="1" applyFill="1" applyBorder="1" applyAlignment="1">
      <alignment horizontal="right"/>
    </xf>
    <xf numFmtId="174" fontId="79" fillId="2" borderId="82" xfId="7" quotePrefix="1" applyFont="1" applyFill="1" applyBorder="1" applyAlignment="1">
      <alignment horizontal="left"/>
    </xf>
    <xf numFmtId="174" fontId="79" fillId="2" borderId="0" xfId="7" applyFont="1" applyFill="1"/>
    <xf numFmtId="209" fontId="79" fillId="18" borderId="83" xfId="7" applyNumberFormat="1" applyFont="1" applyFill="1" applyBorder="1"/>
    <xf numFmtId="0" fontId="79" fillId="18" borderId="0" xfId="7" applyNumberFormat="1" applyFont="1" applyFill="1"/>
    <xf numFmtId="174" fontId="79" fillId="18" borderId="82" xfId="7" applyFont="1" applyFill="1" applyBorder="1" applyAlignment="1">
      <alignment horizontal="left"/>
    </xf>
    <xf numFmtId="209" fontId="79" fillId="18" borderId="83" xfId="7" applyNumberFormat="1" applyFont="1" applyFill="1" applyBorder="1" applyAlignment="1">
      <alignment horizontal="right"/>
    </xf>
    <xf numFmtId="174" fontId="80" fillId="26" borderId="82" xfId="7" applyFont="1" applyFill="1" applyBorder="1"/>
    <xf numFmtId="174" fontId="79" fillId="26" borderId="0" xfId="7" applyFont="1" applyFill="1"/>
    <xf numFmtId="4" fontId="80" fillId="26" borderId="83" xfId="7" applyNumberFormat="1" applyFont="1" applyFill="1" applyBorder="1" applyAlignment="1">
      <alignment horizontal="right"/>
    </xf>
    <xf numFmtId="197" fontId="79" fillId="18" borderId="83" xfId="7" applyNumberFormat="1" applyFont="1" applyFill="1" applyBorder="1"/>
    <xf numFmtId="174" fontId="80" fillId="26" borderId="82" xfId="7" quotePrefix="1" applyFont="1" applyFill="1" applyBorder="1" applyAlignment="1">
      <alignment horizontal="left"/>
    </xf>
    <xf numFmtId="174" fontId="80" fillId="26" borderId="0" xfId="7" applyFont="1" applyFill="1"/>
    <xf numFmtId="174" fontId="79" fillId="18" borderId="82" xfId="7" quotePrefix="1" applyFont="1" applyFill="1" applyBorder="1" applyAlignment="1">
      <alignment horizontal="left"/>
    </xf>
    <xf numFmtId="173" fontId="79" fillId="18" borderId="83" xfId="7" applyNumberFormat="1" applyFont="1" applyFill="1" applyBorder="1"/>
    <xf numFmtId="199" fontId="80" fillId="26" borderId="83" xfId="7" applyNumberFormat="1" applyFont="1" applyFill="1" applyBorder="1" applyAlignment="1">
      <alignment horizontal="right"/>
    </xf>
    <xf numFmtId="174" fontId="79" fillId="18" borderId="82" xfId="7" applyFont="1" applyFill="1" applyBorder="1" applyAlignment="1">
      <alignment horizontal="left" vertical="top"/>
    </xf>
    <xf numFmtId="200" fontId="79" fillId="18" borderId="83" xfId="7" applyNumberFormat="1" applyFont="1" applyFill="1" applyBorder="1" applyAlignment="1">
      <alignment horizontal="right" vertical="top"/>
    </xf>
    <xf numFmtId="174" fontId="80" fillId="26" borderId="83" xfId="7" applyFont="1" applyFill="1" applyBorder="1" applyAlignment="1">
      <alignment horizontal="right"/>
    </xf>
    <xf numFmtId="201" fontId="80" fillId="26" borderId="83" xfId="7" applyNumberFormat="1" applyFont="1" applyFill="1" applyBorder="1" applyAlignment="1">
      <alignment horizontal="right"/>
    </xf>
    <xf numFmtId="174" fontId="79" fillId="18" borderId="84" xfId="7" applyFont="1" applyFill="1" applyBorder="1" applyAlignment="1">
      <alignment horizontal="left"/>
    </xf>
    <xf numFmtId="174" fontId="79" fillId="18" borderId="85" xfId="7" applyFont="1" applyFill="1" applyBorder="1"/>
    <xf numFmtId="202" fontId="79" fillId="18" borderId="10" xfId="7" applyNumberFormat="1" applyFont="1" applyFill="1" applyBorder="1" applyAlignment="1">
      <alignment horizontal="right"/>
    </xf>
    <xf numFmtId="174" fontId="80" fillId="26" borderId="84" xfId="7" applyFont="1" applyFill="1" applyBorder="1" applyAlignment="1">
      <alignment horizontal="left"/>
    </xf>
    <xf numFmtId="174" fontId="88" fillId="26" borderId="85" xfId="7" applyFont="1" applyFill="1" applyBorder="1" applyAlignment="1">
      <alignment horizontal="right"/>
    </xf>
    <xf numFmtId="2" fontId="80" fillId="26" borderId="10" xfId="7" applyNumberFormat="1" applyFont="1" applyFill="1" applyBorder="1" applyAlignment="1">
      <alignment horizontal="right"/>
    </xf>
    <xf numFmtId="174" fontId="127" fillId="18" borderId="16" xfId="7" applyFont="1" applyFill="1" applyBorder="1"/>
    <xf numFmtId="174" fontId="127" fillId="18" borderId="17" xfId="7" applyFont="1" applyFill="1" applyBorder="1"/>
    <xf numFmtId="4" fontId="127" fillId="18" borderId="14" xfId="7" applyNumberFormat="1" applyFont="1" applyFill="1" applyBorder="1"/>
    <xf numFmtId="174" fontId="79" fillId="18" borderId="17" xfId="7" applyFont="1" applyFill="1" applyBorder="1"/>
    <xf numFmtId="174" fontId="88" fillId="18" borderId="0" xfId="7" applyFont="1" applyFill="1"/>
    <xf numFmtId="195" fontId="93" fillId="0" borderId="81" xfId="7" applyNumberFormat="1" applyFont="1" applyBorder="1" applyAlignment="1">
      <alignment horizontal="left"/>
    </xf>
    <xf numFmtId="174" fontId="79" fillId="18" borderId="10" xfId="7" applyFont="1" applyFill="1" applyBorder="1" applyAlignment="1">
      <alignment horizontal="right"/>
    </xf>
    <xf numFmtId="195" fontId="93" fillId="0" borderId="16" xfId="7" applyNumberFormat="1" applyFont="1" applyBorder="1" applyAlignment="1">
      <alignment horizontal="left"/>
    </xf>
    <xf numFmtId="195" fontId="86" fillId="0" borderId="14" xfId="7" applyNumberFormat="1" applyFont="1" applyBorder="1"/>
    <xf numFmtId="195" fontId="86" fillId="0" borderId="0" xfId="7" applyNumberFormat="1" applyFont="1"/>
    <xf numFmtId="174" fontId="79" fillId="18" borderId="81" xfId="7" applyFont="1" applyFill="1" applyBorder="1"/>
    <xf numFmtId="204" fontId="79" fillId="18" borderId="68" xfId="7" applyNumberFormat="1" applyFont="1" applyFill="1" applyBorder="1" applyAlignment="1">
      <alignment horizontal="right"/>
    </xf>
    <xf numFmtId="195" fontId="79" fillId="0" borderId="82" xfId="7" applyNumberFormat="1" applyFont="1" applyBorder="1" applyAlignment="1">
      <alignment horizontal="left"/>
    </xf>
    <xf numFmtId="166" fontId="80" fillId="0" borderId="83" xfId="7" applyNumberFormat="1" applyFont="1" applyBorder="1" applyAlignment="1">
      <alignment horizontal="right"/>
    </xf>
    <xf numFmtId="174" fontId="128" fillId="2" borderId="0" xfId="7" applyFont="1" applyFill="1" applyAlignment="1">
      <alignment horizontal="center"/>
    </xf>
    <xf numFmtId="174" fontId="79" fillId="18" borderId="82" xfId="7" applyFont="1" applyFill="1" applyBorder="1"/>
    <xf numFmtId="200" fontId="79" fillId="18" borderId="83" xfId="7" applyNumberFormat="1" applyFont="1" applyFill="1" applyBorder="1" applyAlignment="1">
      <alignment horizontal="right"/>
    </xf>
    <xf numFmtId="174" fontId="79" fillId="18" borderId="83" xfId="7" applyFont="1" applyFill="1" applyBorder="1"/>
    <xf numFmtId="195" fontId="79" fillId="0" borderId="82" xfId="7" applyNumberFormat="1" applyFont="1" applyBorder="1"/>
    <xf numFmtId="205" fontId="79" fillId="18" borderId="83" xfId="7" applyNumberFormat="1" applyFont="1" applyFill="1" applyBorder="1"/>
    <xf numFmtId="200" fontId="86" fillId="18" borderId="83" xfId="7" applyNumberFormat="1" applyFont="1" applyFill="1" applyBorder="1" applyAlignment="1">
      <alignment horizontal="right"/>
    </xf>
    <xf numFmtId="204" fontId="79" fillId="18" borderId="83" xfId="7" applyNumberFormat="1" applyFont="1" applyFill="1" applyBorder="1" applyAlignment="1">
      <alignment horizontal="right"/>
    </xf>
    <xf numFmtId="0" fontId="79" fillId="0" borderId="82" xfId="7" applyNumberFormat="1" applyFont="1" applyBorder="1"/>
    <xf numFmtId="205" fontId="79" fillId="0" borderId="83" xfId="7" applyNumberFormat="1" applyFont="1" applyBorder="1"/>
    <xf numFmtId="195" fontId="80" fillId="17" borderId="84" xfId="7" applyNumberFormat="1" applyFont="1" applyFill="1" applyBorder="1" applyAlignment="1">
      <alignment horizontal="left"/>
    </xf>
    <xf numFmtId="205" fontId="80" fillId="17" borderId="10" xfId="7" applyNumberFormat="1" applyFont="1" applyFill="1" applyBorder="1"/>
    <xf numFmtId="9" fontId="79" fillId="18" borderId="0" xfId="7" applyNumberFormat="1" applyFont="1" applyFill="1" applyAlignment="1">
      <alignment horizontal="left"/>
    </xf>
    <xf numFmtId="174" fontId="86" fillId="18" borderId="83" xfId="7" applyFont="1" applyFill="1" applyBorder="1" applyAlignment="1">
      <alignment horizontal="right"/>
    </xf>
    <xf numFmtId="174" fontId="79" fillId="18" borderId="83" xfId="7" applyFont="1" applyFill="1" applyBorder="1" applyAlignment="1">
      <alignment horizontal="right"/>
    </xf>
    <xf numFmtId="174" fontId="80" fillId="18" borderId="82" xfId="7" applyFont="1" applyFill="1" applyBorder="1" applyAlignment="1">
      <alignment horizontal="left"/>
    </xf>
    <xf numFmtId="174" fontId="79" fillId="18" borderId="82" xfId="7" applyFont="1" applyFill="1" applyBorder="1" applyAlignment="1">
      <alignment horizontal="right"/>
    </xf>
    <xf numFmtId="166" fontId="79" fillId="18" borderId="83" xfId="7" applyNumberFormat="1" applyFont="1" applyFill="1" applyBorder="1" applyAlignment="1">
      <alignment horizontal="right"/>
    </xf>
    <xf numFmtId="197" fontId="86" fillId="18" borderId="83" xfId="7" applyNumberFormat="1" applyFont="1" applyFill="1" applyBorder="1" applyAlignment="1">
      <alignment horizontal="right"/>
    </xf>
    <xf numFmtId="166" fontId="79" fillId="18" borderId="145" xfId="7" applyNumberFormat="1" applyFont="1" applyFill="1" applyBorder="1" applyAlignment="1">
      <alignment horizontal="right"/>
    </xf>
    <xf numFmtId="202" fontId="79" fillId="18" borderId="83" xfId="7" applyNumberFormat="1" applyFont="1" applyFill="1" applyBorder="1" applyAlignment="1">
      <alignment horizontal="right"/>
    </xf>
    <xf numFmtId="174" fontId="93" fillId="18" borderId="16" xfId="7" applyFont="1" applyFill="1" applyBorder="1" applyAlignment="1">
      <alignment horizontal="left"/>
    </xf>
    <xf numFmtId="174" fontId="21" fillId="18" borderId="17" xfId="7" applyFont="1" applyFill="1" applyBorder="1"/>
    <xf numFmtId="202" fontId="93" fillId="18" borderId="14" xfId="7" applyNumberFormat="1" applyFont="1" applyFill="1" applyBorder="1" applyAlignment="1">
      <alignment horizontal="right"/>
    </xf>
    <xf numFmtId="168" fontId="79" fillId="18" borderId="146" xfId="8" applyFont="1" applyFill="1" applyBorder="1"/>
    <xf numFmtId="174" fontId="129" fillId="27" borderId="147" xfId="7" applyFont="1" applyFill="1" applyBorder="1" applyAlignment="1">
      <alignment horizontal="center" vertical="center"/>
    </xf>
    <xf numFmtId="174" fontId="130" fillId="0" borderId="0" xfId="7" applyFont="1" applyAlignment="1">
      <alignment horizontal="center" vertical="center"/>
    </xf>
    <xf numFmtId="174" fontId="129" fillId="27" borderId="148" xfId="7" applyFont="1" applyFill="1" applyBorder="1" applyAlignment="1">
      <alignment horizontal="center" vertical="center"/>
    </xf>
    <xf numFmtId="174" fontId="89" fillId="0" borderId="0" xfId="7" applyFont="1" applyAlignment="1">
      <alignment horizontal="right"/>
    </xf>
    <xf numFmtId="174" fontId="129" fillId="27" borderId="149" xfId="7" applyFont="1" applyFill="1" applyBorder="1" applyAlignment="1">
      <alignment horizontal="center" vertical="center"/>
    </xf>
    <xf numFmtId="0" fontId="79" fillId="28" borderId="65" xfId="6" applyNumberFormat="1" applyFont="1" applyFill="1" applyBorder="1" applyAlignment="1">
      <alignment horizontal="center"/>
    </xf>
    <xf numFmtId="0" fontId="89" fillId="0" borderId="0" xfId="6" applyNumberFormat="1" applyFont="1" applyFill="1" applyBorder="1" applyAlignment="1">
      <alignment horizontal="center"/>
    </xf>
    <xf numFmtId="174" fontId="79" fillId="29" borderId="65" xfId="7" applyFont="1" applyFill="1" applyBorder="1" applyAlignment="1">
      <alignment horizontal="left"/>
    </xf>
    <xf numFmtId="174" fontId="129" fillId="0" borderId="0" xfId="7" applyFont="1" applyAlignment="1">
      <alignment horizontal="center"/>
    </xf>
    <xf numFmtId="174" fontId="131" fillId="0" borderId="0" xfId="7" applyFont="1" applyAlignment="1">
      <alignment horizontal="center"/>
    </xf>
    <xf numFmtId="10" fontId="79" fillId="0" borderId="65" xfId="6" applyNumberFormat="1" applyFont="1" applyFill="1" applyBorder="1" applyAlignment="1">
      <alignment horizontal="center"/>
    </xf>
    <xf numFmtId="174" fontId="79" fillId="0" borderId="0" xfId="7" applyFont="1" applyAlignment="1">
      <alignment horizontal="left"/>
    </xf>
    <xf numFmtId="10" fontId="79" fillId="0" borderId="0" xfId="6" applyNumberFormat="1" applyFont="1" applyFill="1" applyBorder="1" applyAlignment="1">
      <alignment horizontal="center"/>
    </xf>
    <xf numFmtId="174" fontId="79" fillId="18" borderId="0" xfId="7" applyFont="1" applyFill="1" applyAlignment="1">
      <alignment horizontal="center"/>
    </xf>
    <xf numFmtId="9" fontId="79" fillId="18" borderId="0" xfId="6" applyFont="1" applyFill="1" applyBorder="1" applyAlignment="1">
      <alignment horizontal="left"/>
    </xf>
    <xf numFmtId="174" fontId="80" fillId="18" borderId="150" xfId="7" applyFont="1" applyFill="1" applyBorder="1"/>
    <xf numFmtId="174" fontId="80" fillId="18" borderId="151" xfId="7" applyFont="1" applyFill="1" applyBorder="1"/>
    <xf numFmtId="174" fontId="79" fillId="18" borderId="151" xfId="7" applyFont="1" applyFill="1" applyBorder="1"/>
    <xf numFmtId="174" fontId="79" fillId="18" borderId="152" xfId="7" applyFont="1" applyFill="1" applyBorder="1"/>
    <xf numFmtId="174" fontId="80" fillId="18" borderId="65" xfId="7" applyFont="1" applyFill="1" applyBorder="1"/>
    <xf numFmtId="174" fontId="134" fillId="27" borderId="148" xfId="7" applyFont="1" applyFill="1" applyBorder="1" applyAlignment="1">
      <alignment horizontal="center" vertical="center"/>
    </xf>
    <xf numFmtId="174" fontId="129" fillId="30" borderId="66" xfId="7" applyFont="1" applyFill="1" applyBorder="1" applyAlignment="1">
      <alignment horizontal="center"/>
    </xf>
    <xf numFmtId="174" fontId="129" fillId="30" borderId="67" xfId="7" applyFont="1" applyFill="1" applyBorder="1" applyAlignment="1">
      <alignment horizontal="center"/>
    </xf>
    <xf numFmtId="174" fontId="80" fillId="31" borderId="66" xfId="7" applyFont="1" applyFill="1" applyBorder="1" applyAlignment="1">
      <alignment horizontal="center"/>
    </xf>
    <xf numFmtId="174" fontId="129" fillId="30" borderId="65" xfId="7" applyFont="1" applyFill="1" applyBorder="1" applyAlignment="1">
      <alignment horizontal="center"/>
    </xf>
    <xf numFmtId="174" fontId="79" fillId="29" borderId="149" xfId="7" applyFont="1" applyFill="1" applyBorder="1" applyAlignment="1">
      <alignment horizontal="left"/>
    </xf>
    <xf numFmtId="174" fontId="131" fillId="36" borderId="65" xfId="7" applyFont="1" applyFill="1" applyBorder="1" applyAlignment="1">
      <alignment horizontal="center"/>
    </xf>
    <xf numFmtId="10" fontId="79" fillId="32" borderId="66" xfId="6" applyNumberFormat="1" applyFont="1" applyFill="1" applyBorder="1" applyAlignment="1">
      <alignment horizontal="center"/>
    </xf>
    <xf numFmtId="0" fontId="79" fillId="28" borderId="149" xfId="6" applyNumberFormat="1" applyFont="1" applyFill="1" applyBorder="1" applyAlignment="1">
      <alignment horizontal="center" vertical="center"/>
    </xf>
    <xf numFmtId="174" fontId="79" fillId="0" borderId="65" xfId="7" applyFont="1" applyBorder="1" applyAlignment="1">
      <alignment horizontal="left"/>
    </xf>
    <xf numFmtId="10" fontId="79" fillId="32" borderId="65" xfId="6" applyNumberFormat="1" applyFont="1" applyFill="1" applyBorder="1" applyAlignment="1">
      <alignment horizontal="center"/>
    </xf>
    <xf numFmtId="174" fontId="79" fillId="18" borderId="153" xfId="7" applyFont="1" applyFill="1" applyBorder="1" applyAlignment="1">
      <alignment horizontal="left"/>
    </xf>
    <xf numFmtId="10" fontId="79" fillId="0" borderId="153" xfId="6" applyNumberFormat="1" applyFont="1" applyBorder="1"/>
    <xf numFmtId="10" fontId="79" fillId="0" borderId="0" xfId="6" applyNumberFormat="1" applyFont="1" applyBorder="1"/>
    <xf numFmtId="210" fontId="79" fillId="18" borderId="0" xfId="7" applyNumberFormat="1" applyFont="1" applyFill="1" applyAlignment="1">
      <alignment horizontal="left"/>
    </xf>
    <xf numFmtId="174" fontId="139" fillId="17" borderId="154" xfId="7" applyFont="1" applyFill="1" applyBorder="1" applyAlignment="1">
      <alignment horizontal="center" vertical="center"/>
    </xf>
    <xf numFmtId="174" fontId="139" fillId="17" borderId="155" xfId="7" applyFont="1" applyFill="1" applyBorder="1" applyAlignment="1">
      <alignment horizontal="center" vertical="center"/>
    </xf>
    <xf numFmtId="174" fontId="140" fillId="0" borderId="158" xfId="7" applyFont="1" applyBorder="1" applyAlignment="1">
      <alignment vertical="center"/>
    </xf>
    <xf numFmtId="174" fontId="140" fillId="0" borderId="0" xfId="7" applyFont="1" applyAlignment="1">
      <alignment vertical="center"/>
    </xf>
    <xf numFmtId="174" fontId="140" fillId="0" borderId="159" xfId="7" applyFont="1" applyBorder="1" applyAlignment="1">
      <alignment vertical="center"/>
    </xf>
    <xf numFmtId="174" fontId="140" fillId="0" borderId="83" xfId="7" applyFont="1" applyBorder="1" applyAlignment="1">
      <alignment vertical="center"/>
    </xf>
    <xf numFmtId="174" fontId="141" fillId="0" borderId="158" xfId="7" applyFont="1" applyBorder="1" applyAlignment="1">
      <alignment vertical="center"/>
    </xf>
    <xf numFmtId="174" fontId="140" fillId="0" borderId="158" xfId="7" applyFont="1" applyBorder="1" applyAlignment="1">
      <alignment horizontal="left" vertical="center"/>
    </xf>
    <xf numFmtId="174" fontId="140" fillId="0" borderId="0" xfId="7" applyFont="1" applyAlignment="1">
      <alignment horizontal="left" vertical="center"/>
    </xf>
    <xf numFmtId="174" fontId="140" fillId="0" borderId="161" xfId="7" applyFont="1" applyBorder="1" applyAlignment="1">
      <alignment vertical="center"/>
    </xf>
    <xf numFmtId="174" fontId="140" fillId="0" borderId="82" xfId="7" applyFont="1" applyBorder="1" applyAlignment="1">
      <alignment vertical="center"/>
    </xf>
    <xf numFmtId="174" fontId="140" fillId="0" borderId="160" xfId="7" applyFont="1" applyBorder="1" applyAlignment="1">
      <alignment vertical="center"/>
    </xf>
    <xf numFmtId="174" fontId="141" fillId="0" borderId="162" xfId="7" applyFont="1" applyBorder="1" applyAlignment="1">
      <alignment vertical="center"/>
    </xf>
    <xf numFmtId="174" fontId="140" fillId="0" borderId="162" xfId="7" applyFont="1" applyBorder="1" applyAlignment="1">
      <alignment vertical="center"/>
    </xf>
    <xf numFmtId="174" fontId="141" fillId="0" borderId="163" xfId="7" applyFont="1" applyBorder="1" applyAlignment="1">
      <alignment vertical="center"/>
    </xf>
    <xf numFmtId="174" fontId="38" fillId="0" borderId="85" xfId="7" applyBorder="1"/>
    <xf numFmtId="174" fontId="38" fillId="0" borderId="10" xfId="7" applyBorder="1"/>
    <xf numFmtId="174" fontId="142" fillId="0" borderId="0" xfId="7" applyFont="1" applyAlignment="1">
      <alignment horizontal="left" vertical="top" wrapText="1"/>
    </xf>
    <xf numFmtId="174" fontId="21" fillId="0" borderId="0" xfId="7" applyFont="1" applyAlignment="1">
      <alignment horizontal="center" vertical="center"/>
    </xf>
    <xf numFmtId="2" fontId="21" fillId="0" borderId="0" xfId="7" applyNumberFormat="1" applyFont="1" applyAlignment="1">
      <alignment horizontal="center" vertical="center"/>
    </xf>
    <xf numFmtId="174" fontId="93" fillId="27" borderId="16" xfId="7" applyFont="1" applyFill="1" applyBorder="1" applyAlignment="1">
      <alignment horizontal="center"/>
    </xf>
    <xf numFmtId="174" fontId="80" fillId="27" borderId="13" xfId="7" applyFont="1" applyFill="1" applyBorder="1" applyAlignment="1">
      <alignment horizontal="center"/>
    </xf>
    <xf numFmtId="200" fontId="79" fillId="18" borderId="164" xfId="7" applyNumberFormat="1" applyFont="1" applyFill="1" applyBorder="1" applyAlignment="1">
      <alignment horizontal="left"/>
    </xf>
    <xf numFmtId="2" fontId="79" fillId="0" borderId="165" xfId="7" applyNumberFormat="1" applyFont="1" applyBorder="1" applyAlignment="1">
      <alignment horizontal="center"/>
    </xf>
    <xf numFmtId="200" fontId="79" fillId="18" borderId="166" xfId="7" applyNumberFormat="1" applyFont="1" applyFill="1" applyBorder="1" applyAlignment="1">
      <alignment horizontal="left"/>
    </xf>
    <xf numFmtId="2" fontId="79" fillId="0" borderId="151" xfId="7" applyNumberFormat="1" applyFont="1" applyBorder="1" applyAlignment="1">
      <alignment horizontal="center"/>
    </xf>
    <xf numFmtId="200" fontId="79" fillId="18" borderId="167" xfId="7" applyNumberFormat="1" applyFont="1" applyFill="1" applyBorder="1" applyAlignment="1">
      <alignment horizontal="left"/>
    </xf>
    <xf numFmtId="2" fontId="79" fillId="0" borderId="152" xfId="7" applyNumberFormat="1" applyFont="1" applyBorder="1" applyAlignment="1">
      <alignment horizontal="center"/>
    </xf>
    <xf numFmtId="170" fontId="143" fillId="18" borderId="171" xfId="13" applyNumberFormat="1" applyFont="1" applyFill="1" applyBorder="1" applyAlignment="1">
      <alignment horizontal="center"/>
    </xf>
    <xf numFmtId="170" fontId="135" fillId="18" borderId="0" xfId="13" applyNumberFormat="1" applyFill="1" applyBorder="1" applyAlignment="1"/>
    <xf numFmtId="170" fontId="143" fillId="18" borderId="174" xfId="13" applyNumberFormat="1" applyFont="1" applyFill="1" applyBorder="1" applyAlignment="1">
      <alignment horizontal="center"/>
    </xf>
    <xf numFmtId="200" fontId="79" fillId="18" borderId="65" xfId="7" applyNumberFormat="1" applyFont="1" applyFill="1" applyBorder="1" applyAlignment="1">
      <alignment horizontal="left"/>
    </xf>
    <xf numFmtId="170" fontId="143" fillId="18" borderId="177" xfId="13" applyNumberFormat="1" applyFont="1" applyFill="1" applyBorder="1" applyAlignment="1">
      <alignment horizontal="center"/>
    </xf>
    <xf numFmtId="200" fontId="79" fillId="18" borderId="6" xfId="7" applyNumberFormat="1" applyFont="1" applyFill="1" applyBorder="1" applyAlignment="1">
      <alignment horizontal="left"/>
    </xf>
    <xf numFmtId="200" fontId="79" fillId="18" borderId="177" xfId="7" applyNumberFormat="1" applyFont="1" applyFill="1" applyBorder="1" applyAlignment="1">
      <alignment horizontal="left"/>
    </xf>
    <xf numFmtId="0" fontId="143" fillId="0" borderId="145" xfId="13" applyFont="1" applyBorder="1" applyAlignment="1">
      <alignment horizontal="center"/>
    </xf>
    <xf numFmtId="0" fontId="143" fillId="0" borderId="83" xfId="13" applyFont="1" applyBorder="1" applyAlignment="1">
      <alignment horizontal="center"/>
    </xf>
    <xf numFmtId="174" fontId="143" fillId="0" borderId="177" xfId="13" applyNumberFormat="1" applyFont="1" applyBorder="1" applyAlignment="1">
      <alignment horizontal="center"/>
    </xf>
    <xf numFmtId="0" fontId="143" fillId="18" borderId="177" xfId="13" applyFont="1" applyFill="1" applyBorder="1" applyAlignment="1">
      <alignment horizontal="center"/>
    </xf>
    <xf numFmtId="0" fontId="143" fillId="18" borderId="145" xfId="13" applyFont="1" applyFill="1" applyBorder="1" applyAlignment="1">
      <alignment horizontal="center"/>
    </xf>
    <xf numFmtId="174" fontId="130" fillId="38" borderId="179" xfId="7" applyFont="1" applyFill="1" applyBorder="1"/>
    <xf numFmtId="174" fontId="130" fillId="38" borderId="180" xfId="7" applyFont="1" applyFill="1" applyBorder="1"/>
    <xf numFmtId="174" fontId="130" fillId="38" borderId="181" xfId="7" applyFont="1" applyFill="1" applyBorder="1" applyAlignment="1">
      <alignment horizontal="center"/>
    </xf>
    <xf numFmtId="174" fontId="21" fillId="27" borderId="182" xfId="7" applyFont="1" applyFill="1" applyBorder="1"/>
    <xf numFmtId="174" fontId="21" fillId="27" borderId="183" xfId="7" applyFont="1" applyFill="1" applyBorder="1"/>
    <xf numFmtId="174" fontId="21" fillId="27" borderId="184" xfId="7" applyFont="1" applyFill="1" applyBorder="1" applyAlignment="1">
      <alignment horizontal="center"/>
    </xf>
    <xf numFmtId="174" fontId="38" fillId="0" borderId="0" xfId="7" applyAlignment="1">
      <alignment horizontal="left"/>
    </xf>
    <xf numFmtId="174" fontId="21" fillId="27" borderId="175" xfId="7" applyFont="1" applyFill="1" applyBorder="1"/>
    <xf numFmtId="174" fontId="21" fillId="27" borderId="65" xfId="7" applyFont="1" applyFill="1" applyBorder="1"/>
    <xf numFmtId="174" fontId="21" fillId="27" borderId="176" xfId="7" applyFont="1" applyFill="1" applyBorder="1" applyAlignment="1">
      <alignment horizontal="center"/>
    </xf>
    <xf numFmtId="200" fontId="21" fillId="27" borderId="175" xfId="7" applyNumberFormat="1" applyFont="1" applyFill="1" applyBorder="1"/>
    <xf numFmtId="174" fontId="21" fillId="27" borderId="185" xfId="7" applyFont="1" applyFill="1" applyBorder="1"/>
    <xf numFmtId="174" fontId="21" fillId="27" borderId="186" xfId="7" applyFont="1" applyFill="1" applyBorder="1"/>
    <xf numFmtId="174" fontId="21" fillId="27" borderId="187" xfId="7" applyFont="1" applyFill="1" applyBorder="1" applyAlignment="1">
      <alignment horizontal="center"/>
    </xf>
    <xf numFmtId="197" fontId="80" fillId="26" borderId="83" xfId="7" applyNumberFormat="1" applyFont="1" applyFill="1" applyBorder="1" applyAlignment="1">
      <alignment horizontal="right"/>
    </xf>
    <xf numFmtId="170" fontId="143" fillId="18" borderId="65" xfId="13" applyNumberFormat="1" applyFont="1" applyFill="1" applyBorder="1" applyAlignment="1">
      <alignment horizontal="center"/>
    </xf>
    <xf numFmtId="0" fontId="143" fillId="0" borderId="65" xfId="13" applyFont="1" applyBorder="1" applyAlignment="1">
      <alignment horizontal="center"/>
    </xf>
    <xf numFmtId="174" fontId="143" fillId="0" borderId="65" xfId="13" applyNumberFormat="1" applyFont="1" applyBorder="1" applyAlignment="1">
      <alignment horizontal="center"/>
    </xf>
    <xf numFmtId="0" fontId="143" fillId="18" borderId="65" xfId="13" applyFont="1" applyFill="1" applyBorder="1" applyAlignment="1">
      <alignment horizontal="center"/>
    </xf>
    <xf numFmtId="221" fontId="6" fillId="0" borderId="104" xfId="5" applyNumberFormat="1" applyFont="1" applyBorder="1" applyAlignment="1">
      <alignment horizontal="right"/>
    </xf>
    <xf numFmtId="8" fontId="146" fillId="0" borderId="104" xfId="5" applyNumberFormat="1" applyFont="1" applyBorder="1"/>
    <xf numFmtId="0" fontId="146" fillId="0" borderId="104" xfId="5" applyFont="1" applyBorder="1" applyAlignment="1">
      <alignment horizontal="left" wrapText="1"/>
    </xf>
    <xf numFmtId="0" fontId="5" fillId="0" borderId="118" xfId="5" applyFont="1" applyBorder="1" applyAlignment="1">
      <alignment wrapText="1"/>
    </xf>
    <xf numFmtId="0" fontId="146" fillId="0" borderId="104" xfId="5" applyFont="1" applyBorder="1" applyAlignment="1">
      <alignment horizontal="left"/>
    </xf>
    <xf numFmtId="221" fontId="5" fillId="0" borderId="104" xfId="5" applyNumberFormat="1" applyFont="1" applyBorder="1"/>
    <xf numFmtId="222" fontId="5" fillId="0" borderId="104" xfId="5" applyNumberFormat="1" applyFont="1" applyBorder="1" applyAlignment="1">
      <alignment horizontal="right"/>
    </xf>
    <xf numFmtId="222" fontId="7" fillId="17" borderId="104" xfId="5" applyNumberFormat="1" applyFont="1" applyFill="1" applyBorder="1" applyAlignment="1" applyProtection="1">
      <alignment horizontal="right"/>
      <protection locked="0"/>
    </xf>
    <xf numFmtId="0" fontId="123" fillId="0" borderId="104" xfId="5" applyFont="1" applyBorder="1" applyAlignment="1">
      <alignment horizontal="left" wrapText="1"/>
    </xf>
    <xf numFmtId="0" fontId="148" fillId="0" borderId="104" xfId="5" applyFont="1" applyBorder="1" applyAlignment="1">
      <alignment horizontal="left"/>
    </xf>
    <xf numFmtId="8" fontId="148" fillId="0" borderId="104" xfId="5" applyNumberFormat="1" applyFont="1" applyBorder="1"/>
    <xf numFmtId="10" fontId="146" fillId="17" borderId="104" xfId="6" applyNumberFormat="1" applyFont="1" applyFill="1" applyBorder="1" applyProtection="1">
      <protection locked="0"/>
    </xf>
    <xf numFmtId="10" fontId="148" fillId="17" borderId="104" xfId="6" applyNumberFormat="1" applyFont="1" applyFill="1" applyBorder="1" applyProtection="1">
      <protection locked="0"/>
    </xf>
    <xf numFmtId="170" fontId="148" fillId="17" borderId="104" xfId="5" applyNumberFormat="1" applyFont="1" applyFill="1" applyBorder="1" applyAlignment="1" applyProtection="1">
      <alignment horizontal="right"/>
      <protection locked="0"/>
    </xf>
    <xf numFmtId="4" fontId="148" fillId="17" borderId="104" xfId="5" applyNumberFormat="1" applyFont="1" applyFill="1" applyBorder="1" applyAlignment="1" applyProtection="1">
      <alignment horizontal="right"/>
      <protection locked="0"/>
    </xf>
    <xf numFmtId="10" fontId="148" fillId="17" borderId="104" xfId="6" applyNumberFormat="1" applyFont="1" applyFill="1" applyBorder="1" applyAlignment="1" applyProtection="1">
      <alignment horizontal="right"/>
      <protection locked="0"/>
    </xf>
    <xf numFmtId="8" fontId="148" fillId="17" borderId="104" xfId="5" applyNumberFormat="1" applyFont="1" applyFill="1" applyBorder="1" applyAlignment="1" applyProtection="1">
      <alignment horizontal="right"/>
      <protection locked="0"/>
    </xf>
    <xf numFmtId="0" fontId="148" fillId="0" borderId="104" xfId="5" applyFont="1" applyBorder="1" applyAlignment="1">
      <alignment horizontal="left" wrapText="1"/>
    </xf>
    <xf numFmtId="9" fontId="148" fillId="17" borderId="104" xfId="6" applyFont="1" applyFill="1" applyBorder="1" applyProtection="1">
      <protection locked="0"/>
    </xf>
    <xf numFmtId="170" fontId="148" fillId="17" borderId="104" xfId="6" applyNumberFormat="1" applyFont="1" applyFill="1" applyBorder="1" applyProtection="1">
      <protection locked="0"/>
    </xf>
    <xf numFmtId="170" fontId="149" fillId="17" borderId="104" xfId="5" applyNumberFormat="1" applyFont="1" applyFill="1" applyBorder="1" applyAlignment="1" applyProtection="1">
      <alignment horizontal="right"/>
      <protection locked="0"/>
    </xf>
    <xf numFmtId="193" fontId="8" fillId="0" borderId="104" xfId="5" applyNumberFormat="1" applyFont="1" applyBorder="1" applyAlignment="1">
      <alignment horizontal="right"/>
    </xf>
    <xf numFmtId="212" fontId="146" fillId="17" borderId="104" xfId="5" applyNumberFormat="1" applyFont="1" applyFill="1" applyBorder="1" applyAlignment="1">
      <alignment horizontal="right"/>
    </xf>
    <xf numFmtId="0" fontId="149" fillId="0" borderId="104" xfId="5" applyFont="1" applyBorder="1" applyAlignment="1">
      <alignment horizontal="left"/>
    </xf>
    <xf numFmtId="215" fontId="8" fillId="0" borderId="104" xfId="5" applyNumberFormat="1" applyFont="1" applyBorder="1" applyAlignment="1">
      <alignment horizontal="right"/>
    </xf>
    <xf numFmtId="0" fontId="149" fillId="0" borderId="104" xfId="5" applyFont="1" applyBorder="1" applyAlignment="1">
      <alignment horizontal="left" wrapText="1"/>
    </xf>
    <xf numFmtId="215" fontId="8" fillId="17" borderId="104" xfId="5" applyNumberFormat="1" applyFont="1" applyFill="1" applyBorder="1" applyAlignment="1">
      <alignment horizontal="right"/>
    </xf>
    <xf numFmtId="220" fontId="146" fillId="17" borderId="104" xfId="5" applyNumberFormat="1" applyFont="1" applyFill="1" applyBorder="1" applyAlignment="1">
      <alignment horizontal="left"/>
    </xf>
    <xf numFmtId="0" fontId="8" fillId="0" borderId="104" xfId="5" applyFont="1" applyBorder="1" applyAlignment="1">
      <alignment horizontal="left" wrapText="1"/>
    </xf>
    <xf numFmtId="10" fontId="149" fillId="17" borderId="104" xfId="6" applyNumberFormat="1" applyFont="1" applyFill="1" applyBorder="1" applyProtection="1">
      <protection locked="0"/>
    </xf>
    <xf numFmtId="170" fontId="146" fillId="17" borderId="104" xfId="5" applyNumberFormat="1" applyFont="1" applyFill="1" applyBorder="1" applyAlignment="1" applyProtection="1">
      <alignment horizontal="right"/>
      <protection locked="0"/>
    </xf>
    <xf numFmtId="221" fontId="147" fillId="17" borderId="104" xfId="5" applyNumberFormat="1" applyFont="1" applyFill="1" applyBorder="1" applyAlignment="1">
      <alignment horizontal="right"/>
    </xf>
    <xf numFmtId="0" fontId="118" fillId="0" borderId="104" xfId="5" applyFont="1" applyBorder="1" applyAlignment="1">
      <alignment horizontal="left" wrapText="1"/>
    </xf>
    <xf numFmtId="4" fontId="123" fillId="17" borderId="104" xfId="5" applyNumberFormat="1" applyFont="1" applyFill="1" applyBorder="1" applyAlignment="1" applyProtection="1">
      <alignment horizontal="right"/>
      <protection locked="0"/>
    </xf>
    <xf numFmtId="216" fontId="123" fillId="17" borderId="104" xfId="5" applyNumberFormat="1" applyFont="1" applyFill="1" applyBorder="1" applyAlignment="1">
      <alignment horizontal="right"/>
    </xf>
    <xf numFmtId="9" fontId="123" fillId="17" borderId="104" xfId="2" applyFont="1" applyFill="1" applyBorder="1" applyAlignment="1">
      <alignment horizontal="right"/>
    </xf>
    <xf numFmtId="9" fontId="5" fillId="0" borderId="104" xfId="2" applyFont="1" applyFill="1" applyBorder="1" applyAlignment="1">
      <alignment horizontal="right"/>
    </xf>
    <xf numFmtId="0" fontId="147" fillId="0" borderId="104" xfId="5" applyFont="1" applyBorder="1" applyAlignment="1">
      <alignment horizontal="left"/>
    </xf>
    <xf numFmtId="9" fontId="147" fillId="17" borderId="104" xfId="6" applyFont="1" applyFill="1" applyBorder="1" applyProtection="1">
      <protection locked="0"/>
    </xf>
    <xf numFmtId="4" fontId="146" fillId="17" borderId="104" xfId="5" applyNumberFormat="1" applyFont="1" applyFill="1" applyBorder="1" applyAlignment="1" applyProtection="1">
      <alignment horizontal="right"/>
      <protection locked="0"/>
    </xf>
    <xf numFmtId="193" fontId="146" fillId="17" borderId="104" xfId="5" applyNumberFormat="1" applyFont="1" applyFill="1" applyBorder="1" applyAlignment="1" applyProtection="1">
      <alignment horizontal="right"/>
      <protection locked="0"/>
    </xf>
    <xf numFmtId="8" fontId="146" fillId="0" borderId="143" xfId="5" applyNumberFormat="1" applyFont="1" applyBorder="1"/>
    <xf numFmtId="10" fontId="146" fillId="17" borderId="143" xfId="6" applyNumberFormat="1" applyFont="1" applyFill="1" applyBorder="1" applyProtection="1">
      <protection locked="0"/>
    </xf>
    <xf numFmtId="0" fontId="6" fillId="0" borderId="188" xfId="5" applyFont="1" applyBorder="1" applyAlignment="1">
      <alignment horizontal="left"/>
    </xf>
    <xf numFmtId="193" fontId="6" fillId="0" borderId="188" xfId="5" applyNumberFormat="1" applyFont="1" applyBorder="1" applyAlignment="1">
      <alignment horizontal="right"/>
    </xf>
    <xf numFmtId="0" fontId="6" fillId="0" borderId="143" xfId="5" applyFont="1" applyBorder="1" applyAlignment="1">
      <alignment horizontal="left"/>
    </xf>
    <xf numFmtId="216" fontId="5" fillId="0" borderId="143" xfId="5" applyNumberFormat="1" applyFont="1" applyBorder="1" applyAlignment="1">
      <alignment horizontal="right"/>
    </xf>
    <xf numFmtId="216" fontId="5" fillId="0" borderId="188" xfId="5" applyNumberFormat="1" applyFont="1" applyBorder="1" applyAlignment="1">
      <alignment horizontal="right"/>
    </xf>
    <xf numFmtId="0" fontId="6" fillId="0" borderId="144" xfId="5" applyFont="1" applyBorder="1" applyAlignment="1">
      <alignment horizontal="left"/>
    </xf>
    <xf numFmtId="221" fontId="6" fillId="0" borderId="144" xfId="5" applyNumberFormat="1" applyFont="1" applyBorder="1" applyAlignment="1">
      <alignment horizontal="right"/>
    </xf>
    <xf numFmtId="221" fontId="6" fillId="0" borderId="188" xfId="5" applyNumberFormat="1" applyFont="1" applyBorder="1" applyAlignment="1">
      <alignment horizontal="right"/>
    </xf>
    <xf numFmtId="220" fontId="6" fillId="0" borderId="188" xfId="5" applyNumberFormat="1" applyFont="1" applyBorder="1" applyAlignment="1">
      <alignment horizontal="left"/>
    </xf>
    <xf numFmtId="215" fontId="6" fillId="0" borderId="188" xfId="5" applyNumberFormat="1" applyFont="1" applyBorder="1" applyAlignment="1">
      <alignment horizontal="right"/>
    </xf>
    <xf numFmtId="222" fontId="5" fillId="0" borderId="143" xfId="5" applyNumberFormat="1" applyFont="1" applyBorder="1" applyAlignment="1">
      <alignment horizontal="right"/>
    </xf>
    <xf numFmtId="222" fontId="5" fillId="0" borderId="188" xfId="5" applyNumberFormat="1" applyFont="1" applyBorder="1" applyAlignment="1">
      <alignment horizontal="right"/>
    </xf>
    <xf numFmtId="170" fontId="6" fillId="0" borderId="143" xfId="5" applyNumberFormat="1" applyFont="1" applyBorder="1" applyAlignment="1">
      <alignment horizontal="right"/>
    </xf>
    <xf numFmtId="170" fontId="6" fillId="0" borderId="188" xfId="5" applyNumberFormat="1" applyFont="1" applyBorder="1" applyAlignment="1">
      <alignment horizontal="right"/>
    </xf>
    <xf numFmtId="9" fontId="6" fillId="0" borderId="143" xfId="2" applyFont="1" applyBorder="1" applyAlignment="1">
      <alignment horizontal="right"/>
    </xf>
    <xf numFmtId="217" fontId="6" fillId="0" borderId="188" xfId="5" applyNumberFormat="1" applyFont="1" applyBorder="1" applyAlignment="1">
      <alignment horizontal="right"/>
    </xf>
    <xf numFmtId="194" fontId="6" fillId="0" borderId="143" xfId="5" applyNumberFormat="1" applyFont="1" applyBorder="1" applyAlignment="1">
      <alignment horizontal="right"/>
    </xf>
    <xf numFmtId="194" fontId="6" fillId="0" borderId="188" xfId="5" applyNumberFormat="1" applyFont="1" applyBorder="1" applyAlignment="1">
      <alignment horizontal="right"/>
    </xf>
    <xf numFmtId="9" fontId="146" fillId="17" borderId="143" xfId="6" applyFont="1" applyFill="1" applyBorder="1" applyProtection="1">
      <protection locked="0"/>
    </xf>
    <xf numFmtId="0" fontId="5" fillId="0" borderId="117" xfId="5" applyFont="1" applyBorder="1" applyAlignment="1">
      <alignment horizontal="left" wrapText="1"/>
    </xf>
    <xf numFmtId="8" fontId="150" fillId="0" borderId="189" xfId="5" applyNumberFormat="1" applyFont="1" applyBorder="1"/>
    <xf numFmtId="0" fontId="147" fillId="0" borderId="104" xfId="5" applyFont="1" applyBorder="1" applyAlignment="1">
      <alignment horizontal="left" wrapText="1"/>
    </xf>
    <xf numFmtId="9" fontId="146" fillId="17" borderId="104" xfId="6" applyFont="1" applyFill="1" applyBorder="1" applyProtection="1">
      <protection locked="0"/>
    </xf>
    <xf numFmtId="0" fontId="5" fillId="0" borderId="116" xfId="5" applyFont="1" applyBorder="1"/>
    <xf numFmtId="0" fontId="5" fillId="0" borderId="143" xfId="5" applyFont="1" applyBorder="1"/>
    <xf numFmtId="0" fontId="5" fillId="0" borderId="144" xfId="5" applyFont="1" applyBorder="1"/>
    <xf numFmtId="10" fontId="0" fillId="0" borderId="65" xfId="0" applyNumberFormat="1" applyBorder="1"/>
    <xf numFmtId="0" fontId="5" fillId="0" borderId="104" xfId="5" applyFont="1" applyBorder="1" applyAlignment="1">
      <alignment horizontal="right"/>
    </xf>
    <xf numFmtId="0" fontId="5" fillId="0" borderId="143" xfId="5" applyFont="1" applyBorder="1" applyAlignment="1">
      <alignment horizontal="right"/>
    </xf>
    <xf numFmtId="0" fontId="5" fillId="0" borderId="144" xfId="5" applyFont="1" applyBorder="1" applyAlignment="1">
      <alignment horizontal="right"/>
    </xf>
    <xf numFmtId="0" fontId="151" fillId="0" borderId="65" xfId="0" applyFont="1" applyBorder="1"/>
    <xf numFmtId="0" fontId="151" fillId="0" borderId="65" xfId="0" applyFont="1" applyBorder="1" applyAlignment="1">
      <alignment horizontal="right"/>
    </xf>
    <xf numFmtId="186" fontId="0" fillId="0" borderId="65" xfId="0" applyNumberFormat="1" applyBorder="1" applyAlignment="1">
      <alignment horizontal="right"/>
    </xf>
    <xf numFmtId="0" fontId="67" fillId="0" borderId="143" xfId="5" applyFont="1" applyBorder="1"/>
    <xf numFmtId="223" fontId="8" fillId="17" borderId="116" xfId="5" applyNumberFormat="1" applyFont="1" applyFill="1" applyBorder="1" applyAlignment="1">
      <alignment horizontal="right"/>
    </xf>
    <xf numFmtId="0" fontId="152" fillId="0" borderId="0" xfId="5" applyFont="1" applyAlignment="1">
      <alignment vertical="top"/>
    </xf>
    <xf numFmtId="223" fontId="118" fillId="0" borderId="104" xfId="5" applyNumberFormat="1" applyFont="1" applyBorder="1" applyAlignment="1">
      <alignment horizontal="right"/>
    </xf>
    <xf numFmtId="0" fontId="152" fillId="0" borderId="144" xfId="5" applyFont="1" applyBorder="1" applyAlignment="1">
      <alignment vertical="top"/>
    </xf>
    <xf numFmtId="223" fontId="8" fillId="17" borderId="104" xfId="5" applyNumberFormat="1" applyFont="1" applyFill="1" applyBorder="1" applyAlignment="1">
      <alignment horizontal="right"/>
    </xf>
    <xf numFmtId="223" fontId="118" fillId="0" borderId="188" xfId="5" applyNumberFormat="1" applyFont="1" applyBorder="1" applyAlignment="1">
      <alignment horizontal="right"/>
    </xf>
    <xf numFmtId="0" fontId="32" fillId="2" borderId="0" xfId="3" applyFont="1" applyFill="1" applyProtection="1"/>
    <xf numFmtId="0" fontId="6" fillId="2" borderId="72" xfId="0" applyFont="1" applyFill="1" applyBorder="1" applyAlignment="1">
      <alignment wrapText="1"/>
    </xf>
    <xf numFmtId="0" fontId="6" fillId="2" borderId="0" xfId="0" applyFont="1" applyFill="1" applyAlignment="1">
      <alignment wrapText="1"/>
    </xf>
    <xf numFmtId="0" fontId="32" fillId="0" borderId="0" xfId="3" applyFont="1"/>
    <xf numFmtId="0" fontId="32" fillId="0" borderId="0" xfId="3" applyFont="1" applyFill="1"/>
    <xf numFmtId="172" fontId="6" fillId="2" borderId="69" xfId="1" applyNumberFormat="1" applyFont="1" applyFill="1" applyBorder="1" applyAlignment="1" applyProtection="1">
      <alignment horizontal="center"/>
    </xf>
    <xf numFmtId="172" fontId="6" fillId="2" borderId="41" xfId="1" applyNumberFormat="1" applyFont="1" applyFill="1" applyBorder="1" applyAlignment="1" applyProtection="1">
      <alignment horizontal="center"/>
    </xf>
    <xf numFmtId="172" fontId="6" fillId="2" borderId="44" xfId="1" applyNumberFormat="1" applyFont="1" applyFill="1" applyBorder="1" applyAlignment="1" applyProtection="1">
      <alignment horizontal="center"/>
    </xf>
    <xf numFmtId="172" fontId="6" fillId="2" borderId="70" xfId="1" applyNumberFormat="1" applyFont="1" applyFill="1" applyBorder="1" applyAlignment="1" applyProtection="1">
      <alignment horizontal="center"/>
    </xf>
    <xf numFmtId="172" fontId="6" fillId="2" borderId="20" xfId="1" applyNumberFormat="1" applyFont="1" applyFill="1" applyBorder="1" applyAlignment="1" applyProtection="1">
      <alignment horizontal="center"/>
    </xf>
    <xf numFmtId="172" fontId="6" fillId="2" borderId="71" xfId="1" applyNumberFormat="1" applyFont="1" applyFill="1" applyBorder="1" applyAlignment="1" applyProtection="1">
      <alignment horizontal="center"/>
    </xf>
    <xf numFmtId="172" fontId="6" fillId="2" borderId="95" xfId="1" applyNumberFormat="1" applyFont="1" applyFill="1" applyBorder="1" applyAlignment="1" applyProtection="1">
      <alignment horizontal="center"/>
    </xf>
    <xf numFmtId="172" fontId="6" fillId="2" borderId="96" xfId="1" applyNumberFormat="1" applyFont="1" applyFill="1" applyBorder="1" applyAlignment="1" applyProtection="1">
      <alignment horizontal="center"/>
    </xf>
    <xf numFmtId="172" fontId="6" fillId="2" borderId="97" xfId="1" applyNumberFormat="1" applyFont="1" applyFill="1" applyBorder="1" applyAlignment="1" applyProtection="1">
      <alignment horizontal="center"/>
    </xf>
    <xf numFmtId="0" fontId="22" fillId="4" borderId="0" xfId="0" applyFont="1" applyFill="1"/>
    <xf numFmtId="0" fontId="32" fillId="6" borderId="0" xfId="3" applyFont="1" applyFill="1" applyAlignment="1" applyProtection="1">
      <alignment horizontal="left"/>
    </xf>
    <xf numFmtId="0" fontId="32" fillId="2" borderId="0" xfId="3" applyFont="1" applyFill="1" applyAlignment="1" applyProtection="1">
      <alignment horizontal="left"/>
    </xf>
    <xf numFmtId="0" fontId="99" fillId="0" borderId="90" xfId="0" applyFont="1" applyBorder="1" applyAlignment="1">
      <alignment horizontal="left" vertical="center" wrapText="1"/>
    </xf>
    <xf numFmtId="0" fontId="96" fillId="20" borderId="88" xfId="0" applyFont="1" applyFill="1" applyBorder="1" applyAlignment="1">
      <alignment vertical="center" wrapText="1"/>
    </xf>
    <xf numFmtId="0" fontId="101" fillId="0" borderId="0" xfId="3" applyFont="1" applyAlignment="1">
      <alignment vertical="center"/>
    </xf>
    <xf numFmtId="0" fontId="99" fillId="0" borderId="0" xfId="0" applyFont="1" applyAlignment="1">
      <alignment horizontal="right" vertical="center"/>
    </xf>
    <xf numFmtId="0" fontId="96" fillId="20" borderId="86" xfId="0" applyFont="1" applyFill="1" applyBorder="1" applyAlignment="1">
      <alignment horizontal="left" vertical="center" wrapText="1"/>
    </xf>
    <xf numFmtId="0" fontId="105" fillId="0" borderId="0" xfId="0" applyFont="1" applyAlignment="1">
      <alignment horizontal="left"/>
    </xf>
    <xf numFmtId="0" fontId="16" fillId="2" borderId="0" xfId="0" applyFont="1" applyFill="1" applyAlignment="1">
      <alignment horizontal="center"/>
    </xf>
    <xf numFmtId="0" fontId="6" fillId="2" borderId="0" xfId="0" applyFont="1" applyFill="1" applyAlignment="1">
      <alignment horizontal="left" vertical="top" wrapText="1"/>
    </xf>
    <xf numFmtId="0" fontId="32" fillId="2" borderId="0" xfId="3" applyFont="1" applyFill="1" applyAlignment="1" applyProtection="1"/>
    <xf numFmtId="0" fontId="5" fillId="2" borderId="0" xfId="4" applyFont="1" applyFill="1" applyAlignment="1" applyProtection="1">
      <alignment horizontal="left" vertical="center" wrapText="1"/>
    </xf>
    <xf numFmtId="0" fontId="5" fillId="2" borderId="0" xfId="10" applyFont="1" applyFill="1" applyAlignment="1" applyProtection="1">
      <alignment horizontal="left" vertical="center" wrapText="1"/>
    </xf>
    <xf numFmtId="0" fontId="60" fillId="12" borderId="0" xfId="10" applyFont="1" applyFill="1" applyAlignment="1" applyProtection="1">
      <alignment horizontal="center" vertical="center"/>
    </xf>
    <xf numFmtId="0" fontId="5" fillId="2" borderId="0" xfId="10" applyFont="1" applyFill="1" applyAlignment="1" applyProtection="1">
      <alignment horizontal="left" vertical="center"/>
    </xf>
    <xf numFmtId="0" fontId="5" fillId="2" borderId="0" xfId="0" applyFont="1" applyFill="1" applyAlignment="1">
      <alignment horizontal="center" vertical="center" wrapText="1"/>
    </xf>
    <xf numFmtId="0" fontId="5" fillId="2" borderId="0" xfId="9" applyFont="1" applyFill="1" applyAlignment="1" applyProtection="1">
      <alignment horizontal="left" vertical="center"/>
    </xf>
    <xf numFmtId="0" fontId="58" fillId="11" borderId="0" xfId="0" applyFont="1" applyFill="1" applyAlignment="1">
      <alignment horizontal="left" vertical="top"/>
    </xf>
    <xf numFmtId="0" fontId="6" fillId="2" borderId="0" xfId="0" applyFont="1" applyFill="1" applyAlignment="1">
      <alignment horizontal="center" vertical="center" wrapText="1"/>
    </xf>
    <xf numFmtId="0" fontId="6" fillId="2" borderId="0" xfId="0" applyFont="1" applyFill="1" applyAlignment="1">
      <alignment vertical="top" wrapText="1"/>
    </xf>
    <xf numFmtId="0" fontId="8" fillId="2" borderId="81" xfId="0" applyFont="1" applyFill="1" applyBorder="1"/>
    <xf numFmtId="0" fontId="8" fillId="2" borderId="72" xfId="0" applyFont="1" applyFill="1" applyBorder="1"/>
    <xf numFmtId="0" fontId="8" fillId="2" borderId="68" xfId="0" applyFont="1" applyFill="1" applyBorder="1"/>
    <xf numFmtId="0" fontId="52" fillId="2" borderId="16" xfId="0" applyFont="1" applyFill="1" applyBorder="1" applyAlignment="1">
      <alignment horizontal="center"/>
    </xf>
    <xf numFmtId="0" fontId="52" fillId="2" borderId="17" xfId="0" applyFont="1" applyFill="1" applyBorder="1" applyAlignment="1">
      <alignment horizontal="center"/>
    </xf>
    <xf numFmtId="0" fontId="52" fillId="2" borderId="14" xfId="0" applyFont="1" applyFill="1" applyBorder="1" applyAlignment="1">
      <alignment horizontal="center"/>
    </xf>
    <xf numFmtId="0" fontId="32" fillId="2" borderId="0" xfId="3" applyFont="1" applyFill="1"/>
    <xf numFmtId="0" fontId="19" fillId="2" borderId="0" xfId="0" applyFont="1" applyFill="1" applyAlignment="1">
      <alignment horizontal="center"/>
    </xf>
    <xf numFmtId="0" fontId="19" fillId="2" borderId="0" xfId="0" applyFont="1" applyFill="1" applyAlignment="1">
      <alignment horizontal="left"/>
    </xf>
    <xf numFmtId="0" fontId="19" fillId="2" borderId="41" xfId="0" applyFont="1" applyFill="1" applyBorder="1" applyAlignment="1">
      <alignment horizontal="left"/>
    </xf>
    <xf numFmtId="0" fontId="4" fillId="16" borderId="104" xfId="0" applyFont="1" applyFill="1" applyBorder="1" applyAlignment="1">
      <alignment horizontal="center" vertical="center" wrapText="1"/>
    </xf>
    <xf numFmtId="0" fontId="77" fillId="0" borderId="104" xfId="5" applyFont="1" applyBorder="1" applyAlignment="1">
      <alignment horizontal="center"/>
    </xf>
    <xf numFmtId="0" fontId="4" fillId="11" borderId="104" xfId="5" applyFont="1" applyFill="1" applyBorder="1" applyAlignment="1">
      <alignment horizontal="center"/>
    </xf>
    <xf numFmtId="0" fontId="5" fillId="0" borderId="104" xfId="5" applyFont="1" applyBorder="1" applyAlignment="1">
      <alignment horizontal="left"/>
    </xf>
    <xf numFmtId="0" fontId="26" fillId="0" borderId="104" xfId="5" applyFont="1" applyBorder="1" applyAlignment="1">
      <alignment horizontal="left"/>
    </xf>
    <xf numFmtId="0" fontId="5" fillId="0" borderId="104" xfId="5" applyFont="1" applyBorder="1" applyAlignment="1">
      <alignment horizontal="left" wrapText="1"/>
    </xf>
    <xf numFmtId="0" fontId="22" fillId="11" borderId="104" xfId="5" applyFont="1" applyFill="1" applyBorder="1" applyAlignment="1">
      <alignment horizontal="center" vertical="center" wrapText="1"/>
    </xf>
    <xf numFmtId="0" fontId="5" fillId="0" borderId="104" xfId="5" applyFont="1" applyBorder="1" applyAlignment="1">
      <alignment horizontal="center"/>
    </xf>
    <xf numFmtId="0" fontId="72" fillId="0" borderId="144" xfId="5" applyFont="1" applyBorder="1" applyAlignment="1">
      <alignment horizontal="center"/>
    </xf>
    <xf numFmtId="0" fontId="72" fillId="0" borderId="104" xfId="5" applyFont="1" applyBorder="1" applyAlignment="1">
      <alignment horizontal="center"/>
    </xf>
    <xf numFmtId="0" fontId="7" fillId="0" borderId="104" xfId="5" applyFont="1" applyBorder="1" applyAlignment="1">
      <alignment horizontal="left"/>
    </xf>
    <xf numFmtId="0" fontId="124" fillId="0" borderId="143" xfId="5" applyFont="1" applyBorder="1" applyAlignment="1">
      <alignment horizontal="left" wrapText="1"/>
    </xf>
    <xf numFmtId="0" fontId="124" fillId="0" borderId="144" xfId="5" applyFont="1" applyBorder="1" applyAlignment="1">
      <alignment horizontal="left" wrapText="1"/>
    </xf>
    <xf numFmtId="0" fontId="6" fillId="0" borderId="104" xfId="5" applyFont="1" applyBorder="1" applyAlignment="1">
      <alignment horizontal="left"/>
    </xf>
    <xf numFmtId="0" fontId="5" fillId="0" borderId="116" xfId="5" applyFont="1" applyBorder="1" applyAlignment="1">
      <alignment horizontal="left"/>
    </xf>
    <xf numFmtId="0" fontId="5" fillId="0" borderId="117" xfId="5" applyFont="1" applyBorder="1" applyAlignment="1">
      <alignment horizontal="left"/>
    </xf>
    <xf numFmtId="0" fontId="5" fillId="0" borderId="118" xfId="5" applyFont="1" applyBorder="1" applyAlignment="1">
      <alignment horizontal="left"/>
    </xf>
    <xf numFmtId="0" fontId="117" fillId="0" borderId="116" xfId="5" applyFont="1" applyBorder="1" applyAlignment="1">
      <alignment horizontal="left"/>
    </xf>
    <xf numFmtId="0" fontId="117" fillId="0" borderId="117" xfId="5" applyFont="1" applyBorder="1" applyAlignment="1">
      <alignment horizontal="left"/>
    </xf>
    <xf numFmtId="0" fontId="117" fillId="0" borderId="118" xfId="5" applyFont="1" applyBorder="1" applyAlignment="1">
      <alignment horizontal="left"/>
    </xf>
    <xf numFmtId="0" fontId="5" fillId="0" borderId="119" xfId="5" applyFont="1" applyBorder="1" applyAlignment="1">
      <alignment horizontal="left" wrapText="1"/>
    </xf>
    <xf numFmtId="0" fontId="5" fillId="0" borderId="120" xfId="5" applyFont="1" applyBorder="1" applyAlignment="1">
      <alignment horizontal="left" wrapText="1"/>
    </xf>
    <xf numFmtId="0" fontId="5" fillId="0" borderId="121" xfId="5" applyFont="1" applyBorder="1" applyAlignment="1">
      <alignment horizontal="left" wrapText="1"/>
    </xf>
    <xf numFmtId="0" fontId="5" fillId="0" borderId="122" xfId="5" applyFont="1" applyBorder="1" applyAlignment="1">
      <alignment horizontal="left" wrapText="1"/>
    </xf>
    <xf numFmtId="0" fontId="5" fillId="0" borderId="123" xfId="5" applyFont="1" applyBorder="1" applyAlignment="1">
      <alignment horizontal="left" wrapText="1"/>
    </xf>
    <xf numFmtId="0" fontId="5" fillId="0" borderId="124" xfId="5" applyFont="1" applyBorder="1" applyAlignment="1">
      <alignment horizontal="left" wrapText="1"/>
    </xf>
    <xf numFmtId="0" fontId="5" fillId="0" borderId="116" xfId="5" applyFont="1" applyBorder="1" applyAlignment="1">
      <alignment horizontal="left" wrapText="1"/>
    </xf>
    <xf numFmtId="0" fontId="5" fillId="0" borderId="117" xfId="5" applyFont="1" applyBorder="1" applyAlignment="1">
      <alignment horizontal="left" wrapText="1"/>
    </xf>
    <xf numFmtId="0" fontId="5" fillId="0" borderId="119" xfId="5" applyFont="1" applyBorder="1" applyAlignment="1">
      <alignment horizontal="left" vertical="top" wrapText="1"/>
    </xf>
    <xf numFmtId="0" fontId="5" fillId="0" borderId="120" xfId="5" applyFont="1" applyBorder="1" applyAlignment="1">
      <alignment horizontal="left" vertical="top" wrapText="1"/>
    </xf>
    <xf numFmtId="0" fontId="5" fillId="0" borderId="121" xfId="5" applyFont="1" applyBorder="1" applyAlignment="1">
      <alignment horizontal="left" vertical="top" wrapText="1"/>
    </xf>
    <xf numFmtId="0" fontId="5" fillId="0" borderId="122" xfId="5" applyFont="1" applyBorder="1" applyAlignment="1">
      <alignment horizontal="left" vertical="top" wrapText="1"/>
    </xf>
    <xf numFmtId="0" fontId="5" fillId="0" borderId="123" xfId="5" applyFont="1" applyBorder="1" applyAlignment="1">
      <alignment horizontal="left" vertical="top" wrapText="1"/>
    </xf>
    <xf numFmtId="0" fontId="5" fillId="0" borderId="124" xfId="5" applyFont="1" applyBorder="1" applyAlignment="1">
      <alignment horizontal="left" vertical="top" wrapText="1"/>
    </xf>
    <xf numFmtId="174" fontId="81" fillId="18" borderId="66" xfId="7" applyFont="1" applyFill="1" applyBorder="1"/>
    <xf numFmtId="174" fontId="81" fillId="18" borderId="67" xfId="7" applyFont="1" applyFill="1" applyBorder="1"/>
    <xf numFmtId="174" fontId="81" fillId="18" borderId="66" xfId="7" quotePrefix="1" applyFont="1" applyFill="1" applyBorder="1" applyAlignment="1">
      <alignment horizontal="left"/>
    </xf>
    <xf numFmtId="174" fontId="81" fillId="18" borderId="67" xfId="7" quotePrefix="1" applyFont="1" applyFill="1" applyBorder="1" applyAlignment="1">
      <alignment horizontal="left"/>
    </xf>
    <xf numFmtId="174" fontId="81" fillId="18" borderId="66" xfId="7" applyFont="1" applyFill="1" applyBorder="1" applyAlignment="1">
      <alignment horizontal="left"/>
    </xf>
    <xf numFmtId="174" fontId="81" fillId="18" borderId="67" xfId="7" applyFont="1" applyFill="1" applyBorder="1" applyAlignment="1">
      <alignment horizontal="left"/>
    </xf>
    <xf numFmtId="174" fontId="81" fillId="0" borderId="66" xfId="7" applyFont="1" applyBorder="1"/>
    <xf numFmtId="174" fontId="81" fillId="0" borderId="67" xfId="7" applyFont="1" applyBorder="1"/>
    <xf numFmtId="174" fontId="79" fillId="18" borderId="66" xfId="7" applyFont="1" applyFill="1" applyBorder="1" applyAlignment="1">
      <alignment horizontal="left"/>
    </xf>
    <xf numFmtId="174" fontId="79" fillId="18" borderId="67" xfId="7" applyFont="1" applyFill="1" applyBorder="1" applyAlignment="1">
      <alignment horizontal="left"/>
    </xf>
    <xf numFmtId="174" fontId="79" fillId="18" borderId="66" xfId="7" quotePrefix="1" applyFont="1" applyFill="1" applyBorder="1" applyAlignment="1">
      <alignment horizontal="left"/>
    </xf>
    <xf numFmtId="174" fontId="79" fillId="18" borderId="67" xfId="7" quotePrefix="1" applyFont="1" applyFill="1" applyBorder="1" applyAlignment="1">
      <alignment horizontal="left"/>
    </xf>
    <xf numFmtId="174" fontId="79" fillId="18" borderId="66" xfId="7" applyFont="1" applyFill="1" applyBorder="1" applyAlignment="1">
      <alignment horizontal="left" vertical="top"/>
    </xf>
    <xf numFmtId="174" fontId="79" fillId="18" borderId="67" xfId="7" applyFont="1" applyFill="1" applyBorder="1" applyAlignment="1">
      <alignment horizontal="left" vertical="top"/>
    </xf>
    <xf numFmtId="174" fontId="79" fillId="18" borderId="65" xfId="7" applyFont="1" applyFill="1" applyBorder="1" applyAlignment="1">
      <alignment horizontal="left"/>
    </xf>
    <xf numFmtId="174" fontId="79" fillId="0" borderId="65" xfId="7" applyFont="1" applyBorder="1"/>
    <xf numFmtId="174" fontId="80" fillId="18" borderId="0" xfId="7" applyFont="1" applyFill="1" applyAlignment="1">
      <alignment horizontal="center"/>
    </xf>
    <xf numFmtId="174" fontId="80" fillId="18" borderId="51" xfId="7" applyFont="1" applyFill="1" applyBorder="1" applyAlignment="1">
      <alignment horizontal="center"/>
    </xf>
    <xf numFmtId="174" fontId="129" fillId="27" borderId="147" xfId="7" applyFont="1" applyFill="1" applyBorder="1" applyAlignment="1">
      <alignment horizontal="center" vertical="center"/>
    </xf>
    <xf numFmtId="174" fontId="129" fillId="27" borderId="61" xfId="7" applyFont="1" applyFill="1" applyBorder="1" applyAlignment="1">
      <alignment horizontal="center" vertical="center"/>
    </xf>
    <xf numFmtId="174" fontId="129" fillId="27" borderId="149" xfId="7" applyFont="1" applyFill="1" applyBorder="1" applyAlignment="1">
      <alignment horizontal="center" vertical="center"/>
    </xf>
    <xf numFmtId="174" fontId="133" fillId="27" borderId="66" xfId="7" applyFont="1" applyFill="1" applyBorder="1" applyAlignment="1">
      <alignment horizontal="center" vertical="center"/>
    </xf>
    <xf numFmtId="174" fontId="133" fillId="27" borderId="6" xfId="7" applyFont="1" applyFill="1" applyBorder="1" applyAlignment="1">
      <alignment horizontal="center" vertical="center"/>
    </xf>
    <xf numFmtId="174" fontId="133" fillId="27" borderId="67" xfId="7" applyFont="1" applyFill="1" applyBorder="1" applyAlignment="1">
      <alignment horizontal="center" vertical="center"/>
    </xf>
    <xf numFmtId="174" fontId="134" fillId="27" borderId="147" xfId="7" applyFont="1" applyFill="1" applyBorder="1" applyAlignment="1">
      <alignment horizontal="center" vertical="center"/>
    </xf>
    <xf numFmtId="174" fontId="134" fillId="27" borderId="148" xfId="7" applyFont="1" applyFill="1" applyBorder="1" applyAlignment="1">
      <alignment horizontal="center" vertical="center"/>
    </xf>
    <xf numFmtId="174" fontId="134" fillId="27" borderId="149" xfId="7" applyFont="1" applyFill="1" applyBorder="1" applyAlignment="1">
      <alignment horizontal="center" vertical="center"/>
    </xf>
    <xf numFmtId="174" fontId="134" fillId="27" borderId="23" xfId="7" applyFont="1" applyFill="1" applyBorder="1" applyAlignment="1">
      <alignment horizontal="center" vertical="center"/>
    </xf>
    <xf numFmtId="174" fontId="134" fillId="27" borderId="0" xfId="7" applyFont="1" applyFill="1" applyAlignment="1">
      <alignment horizontal="center" vertical="center"/>
    </xf>
    <xf numFmtId="174" fontId="134" fillId="27" borderId="146" xfId="7" applyFont="1" applyFill="1" applyBorder="1" applyAlignment="1">
      <alignment horizontal="center" vertical="center"/>
    </xf>
    <xf numFmtId="0" fontId="136" fillId="27" borderId="59" xfId="13" applyFont="1" applyFill="1" applyBorder="1" applyAlignment="1">
      <alignment horizontal="center" vertical="center"/>
    </xf>
    <xf numFmtId="0" fontId="136" fillId="27" borderId="60" xfId="13" applyFont="1" applyFill="1" applyBorder="1" applyAlignment="1">
      <alignment horizontal="center" vertical="center"/>
    </xf>
    <xf numFmtId="0" fontId="136" fillId="27" borderId="61" xfId="13" applyFont="1" applyFill="1" applyBorder="1" applyAlignment="1">
      <alignment horizontal="center" vertical="center"/>
    </xf>
    <xf numFmtId="0" fontId="136" fillId="27" borderId="62" xfId="13" applyFont="1" applyFill="1" applyBorder="1" applyAlignment="1">
      <alignment horizontal="center" vertical="center"/>
    </xf>
    <xf numFmtId="0" fontId="136" fillId="27" borderId="63" xfId="13" applyFont="1" applyFill="1" applyBorder="1" applyAlignment="1">
      <alignment horizontal="center" vertical="center"/>
    </xf>
    <xf numFmtId="0" fontId="136" fillId="27" borderId="64" xfId="13" applyFont="1" applyFill="1" applyBorder="1" applyAlignment="1">
      <alignment horizontal="center" vertical="center"/>
    </xf>
    <xf numFmtId="174" fontId="134" fillId="27" borderId="59" xfId="7" applyFont="1" applyFill="1" applyBorder="1" applyAlignment="1">
      <alignment horizontal="center" vertical="center"/>
    </xf>
    <xf numFmtId="174" fontId="134" fillId="27" borderId="63" xfId="7" applyFont="1" applyFill="1" applyBorder="1" applyAlignment="1">
      <alignment horizontal="center" vertical="center"/>
    </xf>
    <xf numFmtId="174" fontId="137" fillId="27" borderId="16" xfId="7" applyFont="1" applyFill="1" applyBorder="1" applyAlignment="1">
      <alignment horizontal="center" vertical="center"/>
    </xf>
    <xf numFmtId="174" fontId="137" fillId="27" borderId="17" xfId="7" applyFont="1" applyFill="1" applyBorder="1" applyAlignment="1">
      <alignment horizontal="center" vertical="center"/>
    </xf>
    <xf numFmtId="174" fontId="137" fillId="27" borderId="14" xfId="7" applyFont="1" applyFill="1" applyBorder="1" applyAlignment="1">
      <alignment horizontal="center" vertical="center"/>
    </xf>
    <xf numFmtId="174" fontId="134" fillId="27" borderId="66" xfId="7" applyFont="1" applyFill="1" applyBorder="1" applyAlignment="1">
      <alignment horizontal="center" vertical="center"/>
    </xf>
    <xf numFmtId="174" fontId="134" fillId="27" borderId="6" xfId="7" applyFont="1" applyFill="1" applyBorder="1" applyAlignment="1">
      <alignment horizontal="center" vertical="center"/>
    </xf>
    <xf numFmtId="174" fontId="134" fillId="27" borderId="67" xfId="7" applyFont="1" applyFill="1" applyBorder="1" applyAlignment="1">
      <alignment horizontal="center" vertical="center"/>
    </xf>
    <xf numFmtId="174" fontId="129" fillId="30" borderId="66" xfId="7" applyFont="1" applyFill="1" applyBorder="1" applyAlignment="1">
      <alignment horizontal="center"/>
    </xf>
    <xf numFmtId="174" fontId="129" fillId="30" borderId="6" xfId="7" applyFont="1" applyFill="1" applyBorder="1" applyAlignment="1">
      <alignment horizontal="center"/>
    </xf>
    <xf numFmtId="174" fontId="129" fillId="30" borderId="67" xfId="7" applyFont="1" applyFill="1" applyBorder="1" applyAlignment="1">
      <alignment horizontal="center"/>
    </xf>
    <xf numFmtId="10" fontId="79" fillId="32" borderId="59" xfId="6" applyNumberFormat="1" applyFont="1" applyFill="1" applyBorder="1" applyAlignment="1">
      <alignment horizontal="center" vertical="center"/>
    </xf>
    <xf numFmtId="10" fontId="79" fillId="32" borderId="61" xfId="6" applyNumberFormat="1" applyFont="1" applyFill="1" applyBorder="1" applyAlignment="1">
      <alignment horizontal="center" vertical="center"/>
    </xf>
    <xf numFmtId="10" fontId="79" fillId="32" borderId="63" xfId="6" applyNumberFormat="1" applyFont="1" applyFill="1" applyBorder="1" applyAlignment="1">
      <alignment horizontal="center" vertical="center"/>
    </xf>
    <xf numFmtId="0" fontId="79" fillId="28" borderId="147" xfId="6" applyNumberFormat="1" applyFont="1" applyFill="1" applyBorder="1" applyAlignment="1">
      <alignment horizontal="center" vertical="center"/>
    </xf>
    <xf numFmtId="0" fontId="79" fillId="28" borderId="148" xfId="6" applyNumberFormat="1" applyFont="1" applyFill="1" applyBorder="1" applyAlignment="1">
      <alignment horizontal="center" vertical="center"/>
    </xf>
    <xf numFmtId="174" fontId="79" fillId="33" borderId="60" xfId="7" applyFont="1" applyFill="1" applyBorder="1" applyAlignment="1">
      <alignment horizontal="center" vertical="center"/>
    </xf>
    <xf numFmtId="174" fontId="79" fillId="33" borderId="62" xfId="7" applyFont="1" applyFill="1" applyBorder="1" applyAlignment="1">
      <alignment horizontal="center" vertical="center"/>
    </xf>
    <xf numFmtId="174" fontId="79" fillId="33" borderId="148" xfId="7" applyFont="1" applyFill="1" applyBorder="1" applyAlignment="1">
      <alignment horizontal="center" vertical="center"/>
    </xf>
    <xf numFmtId="174" fontId="79" fillId="33" borderId="149" xfId="7" applyFont="1" applyFill="1" applyBorder="1" applyAlignment="1">
      <alignment horizontal="center" vertical="center"/>
    </xf>
    <xf numFmtId="174" fontId="79" fillId="34" borderId="147" xfId="7" applyFont="1" applyFill="1" applyBorder="1" applyAlignment="1">
      <alignment horizontal="center" vertical="center" wrapText="1"/>
    </xf>
    <xf numFmtId="174" fontId="79" fillId="34" borderId="148" xfId="7" applyFont="1" applyFill="1" applyBorder="1" applyAlignment="1">
      <alignment horizontal="center" vertical="center" wrapText="1"/>
    </xf>
    <xf numFmtId="174" fontId="79" fillId="34" borderId="149" xfId="7" applyFont="1" applyFill="1" applyBorder="1" applyAlignment="1">
      <alignment horizontal="center" vertical="center" wrapText="1"/>
    </xf>
    <xf numFmtId="174" fontId="79" fillId="35" borderId="59" xfId="7" applyFont="1" applyFill="1" applyBorder="1" applyAlignment="1">
      <alignment horizontal="center" vertical="center"/>
    </xf>
    <xf numFmtId="174" fontId="79" fillId="35" borderId="60" xfId="7" applyFont="1" applyFill="1" applyBorder="1" applyAlignment="1">
      <alignment horizontal="center" vertical="center"/>
    </xf>
    <xf numFmtId="174" fontId="79" fillId="35" borderId="61" xfId="7" applyFont="1" applyFill="1" applyBorder="1" applyAlignment="1">
      <alignment horizontal="center" vertical="center"/>
    </xf>
    <xf numFmtId="174" fontId="79" fillId="35" borderId="62" xfId="7" applyFont="1" applyFill="1" applyBorder="1" applyAlignment="1">
      <alignment horizontal="center" vertical="center"/>
    </xf>
    <xf numFmtId="174" fontId="79" fillId="35" borderId="63" xfId="7" applyFont="1" applyFill="1" applyBorder="1" applyAlignment="1">
      <alignment horizontal="center" vertical="center"/>
    </xf>
    <xf numFmtId="174" fontId="79" fillId="35" borderId="64" xfId="7" applyFont="1" applyFill="1" applyBorder="1" applyAlignment="1">
      <alignment horizontal="center" vertical="center"/>
    </xf>
    <xf numFmtId="174" fontId="131" fillId="36" borderId="147" xfId="7" applyFont="1" applyFill="1" applyBorder="1" applyAlignment="1">
      <alignment horizontal="center" vertical="center"/>
    </xf>
    <xf numFmtId="174" fontId="131" fillId="36" borderId="148" xfId="7" applyFont="1" applyFill="1" applyBorder="1" applyAlignment="1">
      <alignment horizontal="center" vertical="center"/>
    </xf>
    <xf numFmtId="174" fontId="131" fillId="36" borderId="149" xfId="7" applyFont="1" applyFill="1" applyBorder="1" applyAlignment="1">
      <alignment horizontal="center" vertical="center"/>
    </xf>
    <xf numFmtId="174" fontId="131" fillId="37" borderId="147" xfId="7" applyFont="1" applyFill="1" applyBorder="1" applyAlignment="1">
      <alignment horizontal="center" vertical="center"/>
    </xf>
    <xf numFmtId="174" fontId="131" fillId="37" borderId="148" xfId="7" applyFont="1" applyFill="1" applyBorder="1" applyAlignment="1">
      <alignment horizontal="center" vertical="center"/>
    </xf>
    <xf numFmtId="174" fontId="131" fillId="37" borderId="149" xfId="7" applyFont="1" applyFill="1" applyBorder="1" applyAlignment="1">
      <alignment horizontal="center" vertical="center"/>
    </xf>
    <xf numFmtId="174" fontId="131" fillId="37" borderId="23" xfId="7" applyFont="1" applyFill="1" applyBorder="1" applyAlignment="1">
      <alignment horizontal="center" vertical="center"/>
    </xf>
    <xf numFmtId="174" fontId="131" fillId="37" borderId="0" xfId="7" applyFont="1" applyFill="1" applyAlignment="1">
      <alignment horizontal="center" vertical="center"/>
    </xf>
    <xf numFmtId="174" fontId="131" fillId="37" borderId="146" xfId="7" applyFont="1" applyFill="1" applyBorder="1" applyAlignment="1">
      <alignment horizontal="center" vertical="center"/>
    </xf>
    <xf numFmtId="174" fontId="131" fillId="37" borderId="147" xfId="7" applyFont="1" applyFill="1" applyBorder="1" applyAlignment="1">
      <alignment horizontal="center" vertical="center" wrapText="1"/>
    </xf>
    <xf numFmtId="174" fontId="131" fillId="37" borderId="148" xfId="7" applyFont="1" applyFill="1" applyBorder="1" applyAlignment="1">
      <alignment horizontal="center" vertical="center" wrapText="1"/>
    </xf>
    <xf numFmtId="174" fontId="131" fillId="37" borderId="149" xfId="7" applyFont="1" applyFill="1" applyBorder="1" applyAlignment="1">
      <alignment horizontal="center" vertical="center" wrapText="1"/>
    </xf>
    <xf numFmtId="174" fontId="79" fillId="35" borderId="63" xfId="7" applyFont="1" applyFill="1" applyBorder="1" applyAlignment="1">
      <alignment horizontal="center"/>
    </xf>
    <xf numFmtId="174" fontId="79" fillId="35" borderId="64" xfId="7" applyFont="1" applyFill="1" applyBorder="1" applyAlignment="1">
      <alignment horizontal="center"/>
    </xf>
    <xf numFmtId="174" fontId="79" fillId="0" borderId="65" xfId="7" applyFont="1" applyBorder="1" applyAlignment="1">
      <alignment horizontal="center"/>
    </xf>
    <xf numFmtId="174" fontId="80" fillId="27" borderId="81" xfId="7" applyFont="1" applyFill="1" applyBorder="1" applyAlignment="1">
      <alignment horizontal="center"/>
    </xf>
    <xf numFmtId="174" fontId="80" fillId="27" borderId="68" xfId="7" applyFont="1" applyFill="1" applyBorder="1" applyAlignment="1">
      <alignment horizontal="center"/>
    </xf>
    <xf numFmtId="174" fontId="142" fillId="0" borderId="72" xfId="7" applyFont="1" applyBorder="1" applyAlignment="1">
      <alignment horizontal="left" vertical="top" wrapText="1"/>
    </xf>
    <xf numFmtId="174" fontId="142" fillId="0" borderId="0" xfId="7" applyFont="1" applyAlignment="1">
      <alignment horizontal="left" vertical="top" wrapText="1"/>
    </xf>
    <xf numFmtId="174" fontId="139" fillId="17" borderId="156" xfId="7" applyFont="1" applyFill="1" applyBorder="1" applyAlignment="1">
      <alignment horizontal="center" vertical="center"/>
    </xf>
    <xf numFmtId="174" fontId="139" fillId="17" borderId="155" xfId="7" applyFont="1" applyFill="1" applyBorder="1" applyAlignment="1">
      <alignment horizontal="center" vertical="center"/>
    </xf>
    <xf numFmtId="174" fontId="140" fillId="0" borderId="157" xfId="7" applyFont="1" applyBorder="1" applyAlignment="1">
      <alignment horizontal="center" vertical="center"/>
    </xf>
    <xf numFmtId="174" fontId="140" fillId="0" borderId="160" xfId="7" applyFont="1" applyBorder="1" applyAlignment="1">
      <alignment horizontal="center" vertical="center"/>
    </xf>
    <xf numFmtId="174" fontId="140" fillId="0" borderId="162" xfId="7" applyFont="1" applyBorder="1" applyAlignment="1">
      <alignment horizontal="center" vertical="center"/>
    </xf>
    <xf numFmtId="174" fontId="141" fillId="0" borderId="160" xfId="7" applyFont="1" applyBorder="1" applyAlignment="1">
      <alignment vertical="center"/>
    </xf>
    <xf numFmtId="200" fontId="79" fillId="18" borderId="175" xfId="7" applyNumberFormat="1" applyFont="1" applyFill="1" applyBorder="1" applyAlignment="1">
      <alignment horizontal="left"/>
    </xf>
    <xf numFmtId="200" fontId="79" fillId="18" borderId="65" xfId="7" applyNumberFormat="1" applyFont="1" applyFill="1" applyBorder="1" applyAlignment="1">
      <alignment horizontal="left"/>
    </xf>
    <xf numFmtId="200" fontId="79" fillId="18" borderId="176" xfId="7" applyNumberFormat="1" applyFont="1" applyFill="1" applyBorder="1" applyAlignment="1">
      <alignment horizontal="left"/>
    </xf>
    <xf numFmtId="174" fontId="80" fillId="27" borderId="16" xfId="7" applyFont="1" applyFill="1" applyBorder="1" applyAlignment="1">
      <alignment horizontal="center"/>
    </xf>
    <xf numFmtId="174" fontId="80" fillId="27" borderId="17" xfId="7" applyFont="1" applyFill="1" applyBorder="1" applyAlignment="1">
      <alignment horizontal="center"/>
    </xf>
    <xf numFmtId="174" fontId="80" fillId="27" borderId="14" xfId="7" applyFont="1" applyFill="1" applyBorder="1" applyAlignment="1">
      <alignment horizontal="center"/>
    </xf>
    <xf numFmtId="200" fontId="79" fillId="18" borderId="168" xfId="7" applyNumberFormat="1" applyFont="1" applyFill="1" applyBorder="1" applyAlignment="1">
      <alignment horizontal="left"/>
    </xf>
    <xf numFmtId="200" fontId="79" fillId="18" borderId="169" xfId="7" applyNumberFormat="1" applyFont="1" applyFill="1" applyBorder="1" applyAlignment="1">
      <alignment horizontal="left"/>
    </xf>
    <xf numFmtId="200" fontId="79" fillId="18" borderId="170" xfId="7" applyNumberFormat="1" applyFont="1" applyFill="1" applyBorder="1" applyAlignment="1">
      <alignment horizontal="left"/>
    </xf>
    <xf numFmtId="200" fontId="79" fillId="18" borderId="172" xfId="7" applyNumberFormat="1" applyFont="1" applyFill="1" applyBorder="1" applyAlignment="1">
      <alignment horizontal="left"/>
    </xf>
    <xf numFmtId="200" fontId="79" fillId="18" borderId="149" xfId="7" applyNumberFormat="1" applyFont="1" applyFill="1" applyBorder="1" applyAlignment="1">
      <alignment horizontal="left"/>
    </xf>
    <xf numFmtId="200" fontId="79" fillId="18" borderId="173" xfId="7" applyNumberFormat="1" applyFont="1" applyFill="1" applyBorder="1" applyAlignment="1">
      <alignment horizontal="left"/>
    </xf>
    <xf numFmtId="174" fontId="79" fillId="0" borderId="84" xfId="7" applyFont="1" applyBorder="1" applyAlignment="1">
      <alignment horizontal="left"/>
    </xf>
    <xf numFmtId="174" fontId="79" fillId="0" borderId="85" xfId="7" applyFont="1" applyBorder="1" applyAlignment="1">
      <alignment horizontal="left"/>
    </xf>
    <xf numFmtId="174" fontId="79" fillId="0" borderId="178" xfId="7" applyFont="1" applyBorder="1" applyAlignment="1">
      <alignment horizontal="left"/>
    </xf>
    <xf numFmtId="200" fontId="79" fillId="18" borderId="166" xfId="7" applyNumberFormat="1" applyFont="1" applyFill="1" applyBorder="1" applyAlignment="1">
      <alignment horizontal="left"/>
    </xf>
    <xf numFmtId="200" fontId="79" fillId="18" borderId="6" xfId="7" applyNumberFormat="1" applyFont="1" applyFill="1" applyBorder="1" applyAlignment="1">
      <alignment horizontal="left"/>
    </xf>
    <xf numFmtId="200" fontId="79" fillId="18" borderId="177" xfId="7" applyNumberFormat="1" applyFont="1" applyFill="1" applyBorder="1" applyAlignment="1">
      <alignment horizontal="left"/>
    </xf>
    <xf numFmtId="174" fontId="79" fillId="0" borderId="166" xfId="7" applyFont="1" applyBorder="1" applyAlignment="1">
      <alignment horizontal="left"/>
    </xf>
    <xf numFmtId="174" fontId="79" fillId="0" borderId="6" xfId="7" applyFont="1" applyBorder="1" applyAlignment="1">
      <alignment horizontal="left"/>
    </xf>
    <xf numFmtId="174" fontId="79" fillId="0" borderId="177" xfId="7" applyFont="1" applyBorder="1" applyAlignment="1">
      <alignment horizontal="left"/>
    </xf>
    <xf numFmtId="174" fontId="79" fillId="0" borderId="175" xfId="7" applyFont="1" applyBorder="1" applyAlignment="1">
      <alignment horizontal="left"/>
    </xf>
    <xf numFmtId="174" fontId="79" fillId="0" borderId="65" xfId="7" applyFont="1" applyBorder="1" applyAlignment="1">
      <alignment horizontal="left"/>
    </xf>
    <xf numFmtId="174" fontId="79" fillId="0" borderId="176" xfId="7" applyFont="1" applyBorder="1" applyAlignment="1">
      <alignment horizontal="left"/>
    </xf>
    <xf numFmtId="0" fontId="121" fillId="0" borderId="135" xfId="0" applyFont="1" applyBorder="1" applyAlignment="1">
      <alignment vertical="center" wrapText="1"/>
    </xf>
    <xf numFmtId="0" fontId="121" fillId="0" borderId="130" xfId="0" applyFont="1" applyBorder="1" applyAlignment="1">
      <alignment vertical="center" wrapText="1"/>
    </xf>
    <xf numFmtId="0" fontId="121" fillId="0" borderId="136" xfId="0" applyFont="1" applyBorder="1" applyAlignment="1">
      <alignment vertical="center" wrapText="1"/>
    </xf>
    <xf numFmtId="0" fontId="121" fillId="0" borderId="137" xfId="0" applyFont="1" applyBorder="1" applyAlignment="1">
      <alignment vertical="center" wrapText="1"/>
    </xf>
    <xf numFmtId="0" fontId="121" fillId="0" borderId="138" xfId="0" applyFont="1" applyBorder="1" applyAlignment="1">
      <alignment horizontal="center" vertical="center" wrapText="1"/>
    </xf>
    <xf numFmtId="0" fontId="121" fillId="0" borderId="139" xfId="0" applyFont="1" applyBorder="1" applyAlignment="1">
      <alignment horizontal="center" vertical="center" wrapText="1"/>
    </xf>
    <xf numFmtId="0" fontId="121" fillId="0" borderId="140" xfId="0" applyFont="1" applyBorder="1" applyAlignment="1">
      <alignment horizontal="center" vertical="center" wrapText="1"/>
    </xf>
    <xf numFmtId="0" fontId="121" fillId="0" borderId="141" xfId="0" applyFont="1" applyBorder="1" applyAlignment="1">
      <alignment horizontal="center" vertical="center" wrapText="1"/>
    </xf>
    <xf numFmtId="0" fontId="120" fillId="24" borderId="125" xfId="0" applyFont="1" applyFill="1" applyBorder="1" applyAlignment="1">
      <alignment vertical="center" wrapText="1"/>
    </xf>
    <xf numFmtId="0" fontId="120" fillId="24" borderId="126" xfId="0" applyFont="1" applyFill="1" applyBorder="1" applyAlignment="1">
      <alignment vertical="center" wrapText="1"/>
    </xf>
    <xf numFmtId="0" fontId="120" fillId="24" borderId="0" xfId="0" applyFont="1" applyFill="1" applyAlignment="1">
      <alignment vertical="center" wrapText="1"/>
    </xf>
    <xf numFmtId="0" fontId="120" fillId="24" borderId="127" xfId="0" applyFont="1" applyFill="1" applyBorder="1" applyAlignment="1">
      <alignment vertical="center" wrapText="1"/>
    </xf>
    <xf numFmtId="0" fontId="0" fillId="24" borderId="0" xfId="0" applyFill="1" applyAlignment="1">
      <alignment vertical="top" wrapText="1"/>
    </xf>
    <xf numFmtId="0" fontId="0" fillId="24" borderId="127" xfId="0" applyFill="1" applyBorder="1" applyAlignment="1">
      <alignment vertical="top" wrapText="1"/>
    </xf>
    <xf numFmtId="0" fontId="0" fillId="24" borderId="128" xfId="0" applyFill="1" applyBorder="1" applyAlignment="1">
      <alignment vertical="top" wrapText="1"/>
    </xf>
    <xf numFmtId="0" fontId="0" fillId="24" borderId="129" xfId="0" applyFill="1" applyBorder="1" applyAlignment="1">
      <alignment vertical="top" wrapText="1"/>
    </xf>
    <xf numFmtId="0" fontId="120" fillId="24" borderId="133" xfId="0" applyFont="1" applyFill="1" applyBorder="1" applyAlignment="1">
      <alignment vertical="center" wrapText="1"/>
    </xf>
    <xf numFmtId="0" fontId="120" fillId="24" borderId="134" xfId="0" applyFont="1" applyFill="1" applyBorder="1" applyAlignment="1">
      <alignment vertical="center" wrapText="1"/>
    </xf>
    <xf numFmtId="0" fontId="120" fillId="24" borderId="128" xfId="0" applyFont="1" applyFill="1" applyBorder="1" applyAlignment="1">
      <alignment vertical="center" wrapText="1"/>
    </xf>
    <xf numFmtId="0" fontId="123" fillId="0" borderId="104" xfId="5" applyFont="1" applyBorder="1" applyAlignment="1">
      <alignment horizontal="left"/>
    </xf>
  </cellXfs>
  <cellStyles count="14">
    <cellStyle name="Bad" xfId="4" builtinId="27"/>
    <cellStyle name="Comma" xfId="1" builtinId="3"/>
    <cellStyle name="Comma 2" xfId="12" xr:uid="{0A019BEE-8399-405F-935C-5E8EFE0F130E}"/>
    <cellStyle name="Currency" xfId="11" builtinId="4"/>
    <cellStyle name="Currency 2" xfId="8" xr:uid="{F7EB7BB8-E99D-234D-A826-2ED5959968D0}"/>
    <cellStyle name="Good" xfId="9" builtinId="26"/>
    <cellStyle name="Hyperlink" xfId="3" builtinId="8"/>
    <cellStyle name="Hyperlink 2" xfId="13" xr:uid="{EBBD2EFC-9A31-4A08-AD30-0515B814483C}"/>
    <cellStyle name="Neutral" xfId="10" builtinId="28"/>
    <cellStyle name="Normal" xfId="0" builtinId="0"/>
    <cellStyle name="Normal 2" xfId="5" xr:uid="{C2CD9FBA-C316-EA4A-B11A-9C4CC6723D6F}"/>
    <cellStyle name="Normal 3" xfId="7" xr:uid="{DD39D668-EED9-3644-967C-F677D0BCACCA}"/>
    <cellStyle name="Percent" xfId="2" builtinId="5"/>
    <cellStyle name="Percent 2" xfId="6" xr:uid="{337A8554-C35D-7E4C-A91E-579A73C1804C}"/>
  </cellStyles>
  <dxfs count="277">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ndense val="0"/>
        <extend val="0"/>
        <color indexed="43"/>
      </font>
      <fill>
        <patternFill>
          <bgColor indexed="43"/>
        </patternFill>
      </fill>
    </dxf>
    <dxf>
      <font>
        <condense val="0"/>
        <extend val="0"/>
        <color indexed="37"/>
      </font>
      <fill>
        <patternFill>
          <bgColor indexed="37"/>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theme="0"/>
      </font>
      <fill>
        <patternFill>
          <bgColor theme="0"/>
        </patternFill>
      </fill>
    </dxf>
    <dxf>
      <font>
        <color theme="0"/>
      </font>
      <fill>
        <patternFill>
          <bgColor theme="0"/>
        </patternFill>
      </fill>
    </dxf>
    <dxf>
      <font>
        <color auto="1"/>
      </font>
      <fill>
        <patternFill>
          <bgColor theme="8" tint="0.79998168889431442"/>
        </patternFill>
      </fill>
    </dxf>
    <dxf>
      <font>
        <color theme="2" tint="-0.499984740745262"/>
      </font>
      <fill>
        <patternFill>
          <bgColor theme="8" tint="0.79998168889431442"/>
        </patternFill>
      </fill>
    </dxf>
    <dxf>
      <font>
        <color theme="0"/>
      </font>
      <fill>
        <patternFill>
          <bgColor theme="1"/>
        </patternFill>
      </fill>
    </dxf>
    <dxf>
      <font>
        <color theme="1"/>
      </font>
      <fill>
        <patternFill>
          <bgColor rgb="FFFF0000"/>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theme="2" tint="-0.499984740745262"/>
      </font>
      <fill>
        <patternFill>
          <bgColor rgb="FFD8E8F5"/>
        </patternFill>
      </fill>
    </dxf>
    <dxf>
      <font>
        <color theme="0"/>
      </font>
      <fill>
        <patternFill>
          <bgColor theme="1"/>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auto="1"/>
      </font>
      <numFmt numFmtId="224" formatCode=";;;"/>
      <fill>
        <patternFill patternType="solid">
          <bgColor theme="0"/>
        </patternFill>
      </fill>
    </dxf>
    <dxf>
      <font>
        <b/>
        <i val="0"/>
        <color theme="1"/>
      </font>
      <fill>
        <patternFill>
          <bgColor rgb="FFFF0000"/>
        </patternFill>
      </fill>
    </dxf>
    <dxf>
      <font>
        <color theme="0"/>
      </font>
      <fill>
        <patternFill>
          <bgColor theme="1"/>
        </patternFill>
      </fill>
    </dxf>
    <dxf>
      <font>
        <color theme="1"/>
      </font>
      <fill>
        <patternFill>
          <bgColor rgb="FFFF0000"/>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theme="2" tint="-0.499984740745262"/>
      </font>
      <fill>
        <patternFill>
          <bgColor rgb="FFD8E8F5"/>
        </patternFill>
      </fill>
    </dxf>
    <dxf>
      <font>
        <color theme="0"/>
      </font>
      <fill>
        <patternFill>
          <bgColor theme="1"/>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auto="1"/>
      </font>
      <numFmt numFmtId="224" formatCode=";;;"/>
      <fill>
        <patternFill patternType="solid">
          <bgColor theme="0"/>
        </patternFill>
      </fill>
    </dxf>
    <dxf>
      <font>
        <b/>
        <i val="0"/>
        <color theme="1"/>
      </font>
      <fill>
        <patternFill>
          <bgColor rgb="FFFF0000"/>
        </patternFill>
      </fill>
    </dxf>
    <dxf>
      <font>
        <color theme="0"/>
      </font>
      <fill>
        <patternFill>
          <bgColor theme="1"/>
        </patternFill>
      </fill>
    </dxf>
    <dxf>
      <font>
        <color theme="1"/>
      </font>
      <fill>
        <patternFill>
          <bgColor rgb="FFFF0000"/>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theme="2" tint="-0.499984740745262"/>
      </font>
      <fill>
        <patternFill>
          <bgColor rgb="FFD8E8F5"/>
        </patternFill>
      </fill>
    </dxf>
    <dxf>
      <font>
        <color theme="0"/>
      </font>
      <fill>
        <patternFill>
          <bgColor theme="1"/>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auto="1"/>
      </font>
      <numFmt numFmtId="224" formatCode=";;;"/>
      <fill>
        <patternFill patternType="solid">
          <bgColor theme="0"/>
        </patternFill>
      </fill>
    </dxf>
    <dxf>
      <font>
        <b/>
        <i val="0"/>
        <color theme="1"/>
      </font>
      <fill>
        <patternFill>
          <bgColor rgb="FFFF0000"/>
        </patternFill>
      </fill>
    </dxf>
    <dxf>
      <font>
        <color theme="0"/>
      </font>
      <fill>
        <patternFill>
          <bgColor theme="1"/>
        </patternFill>
      </fill>
    </dxf>
    <dxf>
      <font>
        <color theme="1"/>
      </font>
      <fill>
        <patternFill>
          <bgColor rgb="FFFF0000"/>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theme="2" tint="-0.499984740745262"/>
      </font>
      <fill>
        <patternFill>
          <bgColor rgb="FFD8E8F5"/>
        </patternFill>
      </fill>
    </dxf>
    <dxf>
      <font>
        <color theme="0"/>
      </font>
      <fill>
        <patternFill>
          <bgColor theme="1"/>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auto="1"/>
      </font>
      <numFmt numFmtId="224" formatCode=";;;"/>
      <fill>
        <patternFill patternType="solid">
          <bgColor theme="0"/>
        </patternFill>
      </fill>
    </dxf>
    <dxf>
      <font>
        <b/>
        <i val="0"/>
        <color theme="1"/>
      </font>
      <fill>
        <patternFill>
          <bgColor rgb="FFFF0000"/>
        </patternFill>
      </fill>
    </dxf>
    <dxf>
      <font>
        <color theme="2" tint="-0.499984740745262"/>
      </font>
      <fill>
        <patternFill>
          <bgColor rgb="FFD8E8F5"/>
        </patternFill>
      </fill>
    </dxf>
    <dxf>
      <font>
        <color theme="0"/>
      </font>
      <fill>
        <patternFill>
          <bgColor theme="1"/>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auto="1"/>
      </font>
      <numFmt numFmtId="224" formatCode=";;;"/>
      <fill>
        <patternFill patternType="solid">
          <bgColor theme="0"/>
        </patternFill>
      </fill>
    </dxf>
    <dxf>
      <font>
        <b/>
        <i val="0"/>
        <color theme="1"/>
      </font>
      <fill>
        <patternFill>
          <bgColor rgb="FFFF0000"/>
        </patternFill>
      </fill>
    </dxf>
    <dxf>
      <font>
        <color theme="0"/>
      </font>
      <fill>
        <patternFill>
          <bgColor theme="1"/>
        </patternFill>
      </fill>
    </dxf>
    <dxf>
      <font>
        <color theme="1"/>
      </font>
      <fill>
        <patternFill>
          <bgColor rgb="FFFF0000"/>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theme="2" tint="-0.499984740745262"/>
      </font>
      <fill>
        <patternFill>
          <bgColor rgb="FFD8E8F5"/>
        </patternFill>
      </fill>
    </dxf>
    <dxf>
      <font>
        <color theme="0"/>
      </font>
      <fill>
        <patternFill>
          <bgColor theme="1"/>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auto="1"/>
      </font>
      <numFmt numFmtId="224" formatCode=";;;"/>
      <fill>
        <patternFill patternType="solid">
          <bgColor theme="0"/>
        </patternFill>
      </fill>
    </dxf>
    <dxf>
      <font>
        <b/>
        <i val="0"/>
        <color theme="1"/>
      </font>
      <fill>
        <patternFill>
          <bgColor rgb="FFFF0000"/>
        </patternFill>
      </fill>
    </dxf>
    <dxf>
      <font>
        <color theme="0"/>
      </font>
      <fill>
        <patternFill>
          <bgColor theme="1"/>
        </patternFill>
      </fill>
    </dxf>
    <dxf>
      <font>
        <color theme="1"/>
      </font>
      <fill>
        <patternFill>
          <bgColor rgb="FFFF0000"/>
        </patternFill>
      </fill>
    </dxf>
    <dxf>
      <font>
        <color rgb="FF9C0006"/>
      </font>
      <fill>
        <patternFill>
          <bgColor rgb="FFFFC7CE"/>
        </patternFill>
      </fill>
    </dxf>
    <dxf>
      <font>
        <color theme="5" tint="-0.499984740745262"/>
      </font>
      <fill>
        <patternFill>
          <bgColor theme="5" tint="0.39994506668294322"/>
        </patternFill>
      </fill>
    </dxf>
    <dxf>
      <font>
        <color rgb="FF006100"/>
      </font>
      <fill>
        <patternFill>
          <bgColor rgb="FFC6EFCE"/>
        </patternFill>
      </fill>
    </dxf>
    <dxf>
      <font>
        <color rgb="FF9C5700"/>
      </font>
      <fill>
        <patternFill>
          <bgColor rgb="FFFFEB9C"/>
        </patternFill>
      </fill>
    </dxf>
    <dxf>
      <font>
        <color theme="0"/>
      </font>
      <fill>
        <patternFill>
          <bgColor theme="0"/>
        </patternFill>
      </fill>
    </dxf>
    <dxf>
      <font>
        <color theme="2" tint="-0.499984740745262"/>
      </font>
      <fill>
        <patternFill>
          <bgColor rgb="FFD8E8F5"/>
        </patternFill>
      </fill>
    </dxf>
    <dxf>
      <font>
        <color theme="0"/>
      </font>
      <fill>
        <patternFill>
          <bgColor theme="0"/>
        </patternFill>
      </fill>
    </dxf>
    <dxf>
      <font>
        <color theme="2" tint="-0.499984740745262"/>
      </font>
      <fill>
        <patternFill>
          <bgColor rgb="FFD8E8F5"/>
        </patternFill>
      </fill>
    </dxf>
    <dxf>
      <font>
        <color theme="0"/>
      </font>
      <fill>
        <patternFill>
          <bgColor theme="0"/>
        </patternFill>
      </fill>
    </dxf>
    <dxf>
      <font>
        <color theme="2" tint="-0.499984740745262"/>
      </font>
      <fill>
        <patternFill>
          <bgColor rgb="FFD8E8F5"/>
        </patternFill>
      </fill>
    </dxf>
    <dxf>
      <font>
        <color theme="0"/>
      </font>
      <fill>
        <patternFill>
          <bgColor theme="0"/>
        </patternFill>
      </fill>
    </dxf>
    <dxf>
      <font>
        <color theme="0"/>
      </font>
      <fill>
        <patternFill>
          <bgColor theme="0"/>
        </patternFill>
      </fill>
    </dxf>
    <dxf>
      <font>
        <color theme="2" tint="-0.499984740745262"/>
      </font>
      <fill>
        <patternFill>
          <bgColor rgb="FFD8E8F5"/>
        </patternFill>
      </fill>
    </dxf>
    <dxf>
      <font>
        <color theme="0"/>
      </font>
      <fill>
        <patternFill>
          <bgColor theme="0"/>
        </patternFill>
      </fill>
    </dxf>
    <dxf>
      <font>
        <color theme="2" tint="-0.499984740745262"/>
      </font>
      <fill>
        <patternFill>
          <bgColor rgb="FFD8E8F5"/>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1"/>
      </font>
      <fill>
        <patternFill>
          <bgColor rgb="FFD8E8F5"/>
        </patternFill>
      </fill>
    </dxf>
    <dxf>
      <font>
        <color theme="0"/>
      </font>
      <fill>
        <patternFill patternType="solid">
          <bgColor theme="0"/>
        </patternFill>
      </fill>
    </dxf>
    <dxf>
      <font>
        <color theme="1"/>
      </font>
      <fill>
        <patternFill>
          <bgColor rgb="FFD8E8F5"/>
        </patternFill>
      </fill>
    </dxf>
    <dxf>
      <font>
        <color theme="0"/>
      </font>
      <fill>
        <patternFill patternType="solid">
          <bgColor theme="0"/>
        </patternFill>
      </fill>
    </dxf>
    <dxf>
      <font>
        <color theme="1"/>
      </font>
      <fill>
        <patternFill>
          <bgColor rgb="FFD8E8F5"/>
        </patternFill>
      </fill>
    </dxf>
    <dxf>
      <font>
        <color theme="0"/>
      </font>
      <fill>
        <patternFill patternType="solid">
          <bgColor theme="0"/>
        </patternFill>
      </fill>
    </dxf>
    <dxf>
      <font>
        <color theme="1"/>
      </font>
      <fill>
        <patternFill>
          <bgColor rgb="FFD8E8F5"/>
        </patternFill>
      </fill>
    </dxf>
    <dxf>
      <font>
        <color theme="0"/>
      </font>
      <fill>
        <patternFill patternType="solid">
          <bgColor theme="0"/>
        </patternFill>
      </fill>
    </dxf>
    <dxf>
      <font>
        <color theme="1"/>
      </font>
      <fill>
        <patternFill>
          <bgColor rgb="FFD8E8F5"/>
        </patternFill>
      </fill>
    </dxf>
    <dxf>
      <font>
        <color theme="0"/>
      </font>
      <fill>
        <patternFill patternType="solid">
          <bgColor theme="0"/>
        </patternFill>
      </fill>
    </dxf>
    <dxf>
      <font>
        <color theme="1"/>
      </font>
      <fill>
        <patternFill>
          <bgColor rgb="FFD8E8F5"/>
        </patternFill>
      </fill>
    </dxf>
    <dxf>
      <font>
        <color theme="0"/>
      </font>
      <fill>
        <patternFill>
          <bgColor theme="0"/>
        </patternFill>
      </fill>
    </dxf>
    <dxf>
      <numFmt numFmtId="175" formatCode="[$HK$-3C09]#,##0"/>
    </dxf>
    <dxf>
      <numFmt numFmtId="172" formatCode="&quot;$&quot;#,##0"/>
    </dxf>
    <dxf>
      <numFmt numFmtId="233" formatCode="[$£-809]#,##0"/>
    </dxf>
    <dxf>
      <numFmt numFmtId="232" formatCode="[$€-2]\ #,##0"/>
    </dxf>
    <dxf>
      <numFmt numFmtId="231" formatCode="[$R$-416]\ #,##0"/>
    </dxf>
    <dxf>
      <numFmt numFmtId="172" formatCode="&quot;$&quot;#,##0"/>
    </dxf>
    <dxf>
      <numFmt numFmtId="230" formatCode="[$kr.-406]\ #,##0"/>
    </dxf>
    <dxf>
      <numFmt numFmtId="228" formatCode="[$¥-411]#,##0"/>
    </dxf>
    <dxf>
      <numFmt numFmtId="229" formatCode="#,##0\ [$zł-415]"/>
    </dxf>
    <dxf>
      <numFmt numFmtId="172" formatCode="&quot;$&quot;#,##0"/>
    </dxf>
    <dxf>
      <numFmt numFmtId="227" formatCode="[$₩-412]#,##0"/>
    </dxf>
    <dxf>
      <numFmt numFmtId="226" formatCode="#,##0\ [$kr-41D]"/>
    </dxf>
    <dxf>
      <numFmt numFmtId="225" formatCode="[$THB-41E]#,##0"/>
    </dxf>
    <dxf>
      <font>
        <color theme="2" tint="-0.499984740745262"/>
      </font>
      <fill>
        <patternFill>
          <bgColor theme="8" tint="0.79998168889431442"/>
        </patternFill>
      </fill>
    </dxf>
    <dxf>
      <font>
        <color auto="1"/>
      </font>
      <fill>
        <patternFill>
          <bgColor theme="8" tint="0.79998168889431442"/>
        </patternFill>
      </fill>
    </dxf>
    <dxf>
      <font>
        <color theme="2" tint="-0.499984740745262"/>
      </font>
      <fill>
        <patternFill>
          <bgColor theme="8" tint="0.79998168889431442"/>
        </patternFill>
      </fill>
    </dxf>
    <dxf>
      <font>
        <color theme="2" tint="-0.499984740745262"/>
      </font>
      <fill>
        <patternFill>
          <bgColor theme="8" tint="0.79998168889431442"/>
        </patternFill>
      </fill>
    </dxf>
    <dxf>
      <font>
        <color theme="2" tint="-0.499984740745262"/>
      </font>
      <fill>
        <patternFill>
          <bgColor theme="8" tint="0.79998168889431442"/>
        </patternFill>
      </fill>
    </dxf>
    <dxf>
      <font>
        <color auto="1"/>
      </font>
      <fill>
        <patternFill>
          <bgColor theme="8" tint="0.79998168889431442"/>
        </patternFill>
      </fill>
    </dxf>
    <dxf>
      <numFmt numFmtId="175" formatCode="[$HK$-3C09]#,##0"/>
    </dxf>
    <dxf>
      <numFmt numFmtId="172" formatCode="&quot;$&quot;#,##0"/>
    </dxf>
    <dxf>
      <numFmt numFmtId="233" formatCode="[$£-809]#,##0"/>
    </dxf>
    <dxf>
      <numFmt numFmtId="232" formatCode="[$€-2]\ #,##0"/>
    </dxf>
    <dxf>
      <numFmt numFmtId="231" formatCode="[$R$-416]\ #,##0"/>
    </dxf>
    <dxf>
      <numFmt numFmtId="172" formatCode="&quot;$&quot;#,##0"/>
    </dxf>
    <dxf>
      <numFmt numFmtId="230" formatCode="[$kr.-406]\ #,##0"/>
    </dxf>
    <dxf>
      <numFmt numFmtId="228" formatCode="[$¥-411]#,##0"/>
    </dxf>
    <dxf>
      <numFmt numFmtId="229" formatCode="#,##0\ [$zł-415]"/>
    </dxf>
    <dxf>
      <numFmt numFmtId="172" formatCode="&quot;$&quot;#,##0"/>
    </dxf>
    <dxf>
      <numFmt numFmtId="227" formatCode="[$₩-412]#,##0"/>
    </dxf>
    <dxf>
      <numFmt numFmtId="226" formatCode="#,##0\ [$kr-41D]"/>
    </dxf>
    <dxf>
      <numFmt numFmtId="225" formatCode="[$THB-41E]#,##0"/>
    </dxf>
    <dxf>
      <font>
        <color theme="2" tint="-0.499984740745262"/>
      </font>
      <fill>
        <patternFill>
          <bgColor theme="8" tint="0.79998168889431442"/>
        </patternFill>
      </fill>
    </dxf>
    <dxf>
      <font>
        <color auto="1"/>
      </font>
      <fill>
        <patternFill>
          <bgColor theme="8" tint="0.79998168889431442"/>
        </patternFill>
      </fill>
    </dxf>
    <dxf>
      <font>
        <color theme="2" tint="-0.499984740745262"/>
      </font>
      <fill>
        <patternFill>
          <bgColor theme="8" tint="0.79998168889431442"/>
        </patternFill>
      </fill>
    </dxf>
    <dxf>
      <font>
        <color theme="2" tint="-0.499984740745262"/>
      </font>
      <fill>
        <patternFill>
          <bgColor theme="8" tint="0.79998168889431442"/>
        </patternFill>
      </fill>
    </dxf>
    <dxf>
      <numFmt numFmtId="175" formatCode="[$HK$-3C09]#,##0"/>
    </dxf>
    <dxf>
      <numFmt numFmtId="172" formatCode="&quot;$&quot;#,##0"/>
    </dxf>
    <dxf>
      <numFmt numFmtId="233" formatCode="[$£-809]#,##0"/>
    </dxf>
    <dxf>
      <numFmt numFmtId="232" formatCode="[$€-2]\ #,##0"/>
    </dxf>
    <dxf>
      <numFmt numFmtId="231" formatCode="[$R$-416]\ #,##0"/>
    </dxf>
    <dxf>
      <numFmt numFmtId="172" formatCode="&quot;$&quot;#,##0"/>
    </dxf>
    <dxf>
      <numFmt numFmtId="230" formatCode="[$kr.-406]\ #,##0"/>
    </dxf>
    <dxf>
      <numFmt numFmtId="228" formatCode="[$¥-411]#,##0"/>
    </dxf>
    <dxf>
      <numFmt numFmtId="229" formatCode="#,##0\ [$zł-415]"/>
    </dxf>
    <dxf>
      <numFmt numFmtId="172" formatCode="&quot;$&quot;#,##0"/>
    </dxf>
    <dxf>
      <numFmt numFmtId="227" formatCode="[$₩-412]#,##0"/>
    </dxf>
    <dxf>
      <numFmt numFmtId="226" formatCode="#,##0\ [$kr-41D]"/>
    </dxf>
    <dxf>
      <numFmt numFmtId="225" formatCode="[$THB-41E]#,##0"/>
    </dxf>
    <dxf>
      <font>
        <color theme="2" tint="-0.499984740745262"/>
      </font>
      <fill>
        <patternFill>
          <bgColor theme="8" tint="0.79998168889431442"/>
        </patternFill>
      </fill>
    </dxf>
    <dxf>
      <font>
        <color auto="1"/>
      </font>
      <fill>
        <patternFill>
          <bgColor theme="8" tint="0.79998168889431442"/>
        </patternFill>
      </fill>
    </dxf>
    <dxf>
      <font>
        <color theme="2" tint="-0.499984740745262"/>
      </font>
      <fill>
        <patternFill>
          <bgColor theme="8" tint="0.79998168889431442"/>
        </patternFill>
      </fill>
    </dxf>
    <dxf>
      <font>
        <color theme="2" tint="-0.499984740745262"/>
      </font>
      <fill>
        <patternFill>
          <bgColor theme="8" tint="0.79998168889431442"/>
        </patternFill>
      </fill>
    </dxf>
    <dxf>
      <numFmt numFmtId="234" formatCode="[$¥-804]#,##0"/>
    </dxf>
    <dxf>
      <numFmt numFmtId="172" formatCode="&quot;$&quot;#,##0"/>
    </dxf>
    <dxf>
      <numFmt numFmtId="233" formatCode="[$£-809]#,##0"/>
    </dxf>
    <dxf>
      <numFmt numFmtId="232" formatCode="[$€-2]\ #,##0"/>
    </dxf>
    <dxf>
      <numFmt numFmtId="231" formatCode="[$R$-416]\ #,##0"/>
    </dxf>
    <dxf>
      <numFmt numFmtId="172" formatCode="&quot;$&quot;#,##0"/>
    </dxf>
    <dxf>
      <numFmt numFmtId="230" formatCode="[$kr.-406]\ #,##0"/>
    </dxf>
    <dxf>
      <numFmt numFmtId="228" formatCode="[$¥-411]#,##0"/>
    </dxf>
    <dxf>
      <numFmt numFmtId="229" formatCode="#,##0\ [$zł-415]"/>
    </dxf>
    <dxf>
      <numFmt numFmtId="170" formatCode="&quot;$&quot;#,##0.00"/>
    </dxf>
    <dxf>
      <numFmt numFmtId="227" formatCode="[$₩-412]#,##0"/>
    </dxf>
    <dxf>
      <numFmt numFmtId="226" formatCode="#,##0\ [$kr-41D]"/>
    </dxf>
    <dxf>
      <numFmt numFmtId="225" formatCode="[$THB-41E]#,##0"/>
    </dxf>
    <dxf>
      <font>
        <color theme="0"/>
      </font>
      <fill>
        <patternFill>
          <bgColor theme="0"/>
        </patternFill>
      </fill>
    </dxf>
    <dxf>
      <font>
        <color theme="0"/>
      </font>
      <fill>
        <patternFill>
          <bgColor theme="0"/>
        </patternFill>
      </fill>
    </dxf>
    <dxf>
      <font>
        <color auto="1"/>
      </font>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bgColor theme="0"/>
        </patternFill>
      </fill>
    </dxf>
    <dxf>
      <font>
        <color theme="0"/>
      </font>
      <fill>
        <patternFill>
          <bgColor theme="0"/>
        </patternFill>
      </fill>
    </dxf>
    <dxf>
      <font>
        <color theme="2" tint="-0.499984740745262"/>
      </font>
      <fill>
        <patternFill>
          <bgColor theme="8" tint="0.79998168889431442"/>
        </patternFill>
      </fill>
    </dxf>
    <dxf>
      <font>
        <color rgb="FF006100"/>
      </font>
      <fill>
        <patternFill>
          <bgColor rgb="FFC6EFCE"/>
        </patternFill>
      </fill>
    </dxf>
    <dxf>
      <font>
        <color theme="0"/>
      </font>
      <fill>
        <patternFill>
          <bgColor theme="0"/>
        </patternFill>
      </fill>
    </dxf>
    <dxf>
      <numFmt numFmtId="234" formatCode="[$¥-804]#,##0"/>
    </dxf>
    <dxf>
      <numFmt numFmtId="172" formatCode="&quot;$&quot;#,##0"/>
    </dxf>
    <dxf>
      <numFmt numFmtId="233" formatCode="[$£-809]#,##0"/>
    </dxf>
    <dxf>
      <numFmt numFmtId="232" formatCode="[$€-2]\ #,##0"/>
    </dxf>
    <dxf>
      <numFmt numFmtId="231" formatCode="[$R$-416]\ #,##0"/>
    </dxf>
    <dxf>
      <numFmt numFmtId="172" formatCode="&quot;$&quot;#,##0"/>
    </dxf>
    <dxf>
      <numFmt numFmtId="230" formatCode="[$kr.-406]\ #,##0"/>
    </dxf>
    <dxf>
      <numFmt numFmtId="228" formatCode="[$¥-411]#,##0"/>
    </dxf>
    <dxf>
      <numFmt numFmtId="229" formatCode="#,##0\ [$zł-415]"/>
    </dxf>
    <dxf>
      <numFmt numFmtId="172" formatCode="&quot;$&quot;#,##0"/>
    </dxf>
    <dxf>
      <numFmt numFmtId="227" formatCode="[$₩-412]#,##0"/>
    </dxf>
    <dxf>
      <numFmt numFmtId="226" formatCode="#,##0\ [$kr-41D]"/>
    </dxf>
    <dxf>
      <numFmt numFmtId="225" formatCode="[$THB-41E]#,##0"/>
    </dxf>
    <dxf>
      <font>
        <color theme="0"/>
      </font>
      <fill>
        <patternFill>
          <bgColor theme="0"/>
        </patternFill>
      </fill>
    </dxf>
    <dxf>
      <numFmt numFmtId="235" formatCode="[$USD]\ #,##0"/>
    </dxf>
    <dxf>
      <numFmt numFmtId="234" formatCode="[$¥-804]#,##0"/>
    </dxf>
    <dxf>
      <numFmt numFmtId="172" formatCode="&quot;$&quot;#,##0"/>
    </dxf>
    <dxf>
      <numFmt numFmtId="233" formatCode="[$£-809]#,##0"/>
    </dxf>
    <dxf>
      <numFmt numFmtId="232" formatCode="[$€-2]\ #,##0"/>
    </dxf>
    <dxf>
      <numFmt numFmtId="231" formatCode="[$R$-416]\ #,##0"/>
    </dxf>
    <dxf>
      <numFmt numFmtId="172" formatCode="&quot;$&quot;#,##0"/>
    </dxf>
    <dxf>
      <numFmt numFmtId="230" formatCode="[$kr.-406]\ #,##0"/>
    </dxf>
    <dxf>
      <numFmt numFmtId="228" formatCode="[$¥-411]#,##0"/>
    </dxf>
    <dxf>
      <numFmt numFmtId="229" formatCode="#,##0\ [$zł-415]"/>
    </dxf>
    <dxf>
      <numFmt numFmtId="172" formatCode="&quot;$&quot;#,##0"/>
    </dxf>
    <dxf>
      <numFmt numFmtId="227" formatCode="[$₩-412]#,##0"/>
    </dxf>
    <dxf>
      <numFmt numFmtId="226" formatCode="#,##0\ [$kr-41D]"/>
    </dxf>
    <dxf>
      <numFmt numFmtId="225" formatCode="[$THB-41E]#,##0"/>
    </dxf>
    <dxf>
      <font>
        <color theme="2" tint="-0.499984740745262"/>
      </font>
      <fill>
        <patternFill>
          <bgColor theme="8" tint="0.79998168889431442"/>
        </patternFill>
      </fill>
    </dxf>
    <dxf>
      <numFmt numFmtId="235" formatCode="[$USD]\ #,##0"/>
    </dxf>
    <dxf>
      <font>
        <color theme="2" tint="-0.499984740745262"/>
      </font>
      <fill>
        <patternFill>
          <bgColor rgb="FFD8E8F5"/>
        </patternFill>
      </fill>
    </dxf>
    <dxf>
      <font>
        <color theme="0"/>
      </font>
      <fill>
        <patternFill patternType="none">
          <bgColor auto="1"/>
        </patternFill>
      </fill>
    </dxf>
    <dxf>
      <font>
        <color theme="2" tint="-0.499984740745262"/>
      </font>
      <fill>
        <patternFill>
          <bgColor rgb="FFD8E8F5"/>
        </patternFill>
      </fill>
    </dxf>
    <dxf>
      <font>
        <color theme="2" tint="-0.499984740745262"/>
      </font>
      <fill>
        <patternFill>
          <bgColor theme="8" tint="0.79998168889431442"/>
        </patternFill>
      </fill>
    </dxf>
    <dxf>
      <fill>
        <patternFill>
          <bgColor theme="8" tint="0.79998168889431442"/>
        </patternFill>
      </fill>
    </dxf>
    <dxf>
      <font>
        <color theme="2" tint="-0.499984740745262"/>
      </font>
      <fill>
        <patternFill>
          <bgColor rgb="FFD8E8F5"/>
        </patternFill>
      </fill>
    </dxf>
    <dxf>
      <font>
        <color theme="2" tint="-0.499984740745262"/>
      </font>
      <fill>
        <patternFill>
          <bgColor theme="8" tint="0.79998168889431442"/>
        </patternFill>
      </fill>
    </dxf>
    <dxf>
      <font>
        <color theme="0"/>
      </font>
      <fill>
        <patternFill>
          <bgColor theme="0"/>
        </patternFill>
      </fill>
    </dxf>
    <dxf>
      <font>
        <color theme="2" tint="-0.499984740745262"/>
      </font>
      <fill>
        <patternFill>
          <bgColor rgb="FFD8E8F5"/>
        </patternFill>
      </fill>
    </dxf>
  </dxfs>
  <tableStyles count="0" defaultTableStyle="TableStyleMedium2" defaultPivotStyle="PivotStyleLight16"/>
  <colors>
    <mruColors>
      <color rgb="FFE06648"/>
      <color rgb="FFC1DA8C"/>
      <color rgb="FFDD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onnections" Target="connection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E$20" lockText="1" noThreeD="1"/>
</file>

<file path=xl/ctrlProps/ctrlProp2.xml><?xml version="1.0" encoding="utf-8"?>
<formControlPr xmlns="http://schemas.microsoft.com/office/spreadsheetml/2009/9/main" objectType="CheckBox" checked="Checked" fmlaLink="$E$21" lockText="1" noThreeD="1"/>
</file>

<file path=xl/ctrlProps/ctrlProp3.xml><?xml version="1.0" encoding="utf-8"?>
<formControlPr xmlns="http://schemas.microsoft.com/office/spreadsheetml/2009/9/main" objectType="CheckBox" checked="Checked" fmlaLink="$E$2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1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1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9.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322385</xdr:colOff>
      <xdr:row>25</xdr:row>
      <xdr:rowOff>283307</xdr:rowOff>
    </xdr:from>
    <xdr:to>
      <xdr:col>4</xdr:col>
      <xdr:colOff>243552</xdr:colOff>
      <xdr:row>30</xdr:row>
      <xdr:rowOff>230797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2385" y="6105769"/>
          <a:ext cx="5023555" cy="1412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3829050</xdr:colOff>
      <xdr:row>0</xdr:row>
      <xdr:rowOff>0</xdr:rowOff>
    </xdr:from>
    <xdr:to>
      <xdr:col>3</xdr:col>
      <xdr:colOff>361950</xdr:colOff>
      <xdr:row>1</xdr:row>
      <xdr:rowOff>214617</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4425" y="0"/>
          <a:ext cx="7772400" cy="47179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3829050</xdr:colOff>
      <xdr:row>0</xdr:row>
      <xdr:rowOff>0</xdr:rowOff>
    </xdr:from>
    <xdr:to>
      <xdr:col>3</xdr:col>
      <xdr:colOff>361950</xdr:colOff>
      <xdr:row>1</xdr:row>
      <xdr:rowOff>220967</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4425" y="0"/>
          <a:ext cx="7772400" cy="47179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3829050</xdr:colOff>
      <xdr:row>0</xdr:row>
      <xdr:rowOff>0</xdr:rowOff>
    </xdr:from>
    <xdr:to>
      <xdr:col>3</xdr:col>
      <xdr:colOff>361950</xdr:colOff>
      <xdr:row>1</xdr:row>
      <xdr:rowOff>217792</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4425" y="0"/>
          <a:ext cx="7772400" cy="4717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0</xdr:colOff>
      <xdr:row>35</xdr:row>
      <xdr:rowOff>0</xdr:rowOff>
    </xdr:from>
    <xdr:to>
      <xdr:col>24</xdr:col>
      <xdr:colOff>273050</xdr:colOff>
      <xdr:row>43</xdr:row>
      <xdr:rowOff>1322</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11300" y="8369300"/>
          <a:ext cx="10058400" cy="2309546"/>
        </a:xfrm>
        <a:prstGeom prst="rect">
          <a:avLst/>
        </a:prstGeom>
      </xdr:spPr>
    </xdr:pic>
    <xdr:clientData/>
  </xdr:twoCellAnchor>
  <xdr:twoCellAnchor editAs="oneCell">
    <xdr:from>
      <xdr:col>1</xdr:col>
      <xdr:colOff>2828925</xdr:colOff>
      <xdr:row>0</xdr:row>
      <xdr:rowOff>0</xdr:rowOff>
    </xdr:from>
    <xdr:to>
      <xdr:col>3</xdr:col>
      <xdr:colOff>3048000</xdr:colOff>
      <xdr:row>1</xdr:row>
      <xdr:rowOff>240017</xdr:rowOff>
    </xdr:to>
    <xdr:pic>
      <xdr:nvPicPr>
        <xdr:cNvPr id="14" name="Picture 13">
          <a:extLst>
            <a:ext uri="{FF2B5EF4-FFF2-40B4-BE49-F238E27FC236}">
              <a16:creationId xmlns:a16="http://schemas.microsoft.com/office/drawing/2014/main" id="{00000000-0008-0000-16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67200" y="0"/>
          <a:ext cx="7772400" cy="47179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3324225</xdr:colOff>
      <xdr:row>0</xdr:row>
      <xdr:rowOff>0</xdr:rowOff>
    </xdr:from>
    <xdr:to>
      <xdr:col>3</xdr:col>
      <xdr:colOff>2320925</xdr:colOff>
      <xdr:row>1</xdr:row>
      <xdr:rowOff>217792</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8250" y="0"/>
          <a:ext cx="7772400" cy="47179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2714625</xdr:colOff>
      <xdr:row>0</xdr:row>
      <xdr:rowOff>0</xdr:rowOff>
    </xdr:from>
    <xdr:to>
      <xdr:col>3</xdr:col>
      <xdr:colOff>1762125</xdr:colOff>
      <xdr:row>1</xdr:row>
      <xdr:rowOff>214617</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0" y="0"/>
          <a:ext cx="7772400" cy="47179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23</xdr:col>
      <xdr:colOff>654050</xdr:colOff>
      <xdr:row>41</xdr:row>
      <xdr:rowOff>1321</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012400" y="10153650"/>
          <a:ext cx="10001250" cy="2058721"/>
        </a:xfrm>
        <a:prstGeom prst="rect">
          <a:avLst/>
        </a:prstGeom>
      </xdr:spPr>
    </xdr:pic>
    <xdr:clientData/>
  </xdr:twoCellAnchor>
  <xdr:twoCellAnchor editAs="oneCell">
    <xdr:from>
      <xdr:col>1</xdr:col>
      <xdr:colOff>2762250</xdr:colOff>
      <xdr:row>0</xdr:row>
      <xdr:rowOff>0</xdr:rowOff>
    </xdr:from>
    <xdr:to>
      <xdr:col>3</xdr:col>
      <xdr:colOff>3179233</xdr:colOff>
      <xdr:row>1</xdr:row>
      <xdr:rowOff>235784</xdr:rowOff>
    </xdr:to>
    <xdr:pic>
      <xdr:nvPicPr>
        <xdr:cNvPr id="5" name="Picture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13250" y="0"/>
          <a:ext cx="7772400" cy="47179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0</xdr:colOff>
      <xdr:row>35</xdr:row>
      <xdr:rowOff>0</xdr:rowOff>
    </xdr:from>
    <xdr:to>
      <xdr:col>23</xdr:col>
      <xdr:colOff>657225</xdr:colOff>
      <xdr:row>43</xdr:row>
      <xdr:rowOff>1321</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87975" y="8905875"/>
          <a:ext cx="9998075" cy="2058721"/>
        </a:xfrm>
        <a:prstGeom prst="rect">
          <a:avLst/>
        </a:prstGeom>
      </xdr:spPr>
    </xdr:pic>
    <xdr:clientData/>
  </xdr:twoCellAnchor>
  <xdr:twoCellAnchor editAs="oneCell">
    <xdr:from>
      <xdr:col>1</xdr:col>
      <xdr:colOff>2688167</xdr:colOff>
      <xdr:row>0</xdr:row>
      <xdr:rowOff>0</xdr:rowOff>
    </xdr:from>
    <xdr:to>
      <xdr:col>3</xdr:col>
      <xdr:colOff>2695575</xdr:colOff>
      <xdr:row>1</xdr:row>
      <xdr:rowOff>238959</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39167" y="0"/>
          <a:ext cx="7772400" cy="47179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0</xdr:colOff>
      <xdr:row>31</xdr:row>
      <xdr:rowOff>0</xdr:rowOff>
    </xdr:from>
    <xdr:to>
      <xdr:col>23</xdr:col>
      <xdr:colOff>657225</xdr:colOff>
      <xdr:row>39</xdr:row>
      <xdr:rowOff>1321</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87975" y="9163050"/>
          <a:ext cx="10001250" cy="2058721"/>
        </a:xfrm>
        <a:prstGeom prst="rect">
          <a:avLst/>
        </a:prstGeom>
      </xdr:spPr>
    </xdr:pic>
    <xdr:clientData/>
  </xdr:twoCellAnchor>
  <xdr:twoCellAnchor editAs="oneCell">
    <xdr:from>
      <xdr:col>1</xdr:col>
      <xdr:colOff>2762250</xdr:colOff>
      <xdr:row>0</xdr:row>
      <xdr:rowOff>0</xdr:rowOff>
    </xdr:from>
    <xdr:to>
      <xdr:col>3</xdr:col>
      <xdr:colOff>2865967</xdr:colOff>
      <xdr:row>1</xdr:row>
      <xdr:rowOff>238959</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10075" y="0"/>
          <a:ext cx="7770283" cy="46755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0</xdr:colOff>
      <xdr:row>36</xdr:row>
      <xdr:rowOff>0</xdr:rowOff>
    </xdr:from>
    <xdr:to>
      <xdr:col>23</xdr:col>
      <xdr:colOff>663575</xdr:colOff>
      <xdr:row>44</xdr:row>
      <xdr:rowOff>1321</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196050" y="10001250"/>
          <a:ext cx="10048875" cy="2084121"/>
        </a:xfrm>
        <a:prstGeom prst="rect">
          <a:avLst/>
        </a:prstGeom>
      </xdr:spPr>
    </xdr:pic>
    <xdr:clientData/>
  </xdr:twoCellAnchor>
  <xdr:twoCellAnchor editAs="oneCell">
    <xdr:from>
      <xdr:col>1</xdr:col>
      <xdr:colOff>2762250</xdr:colOff>
      <xdr:row>0</xdr:row>
      <xdr:rowOff>0</xdr:rowOff>
    </xdr:from>
    <xdr:to>
      <xdr:col>3</xdr:col>
      <xdr:colOff>2434167</xdr:colOff>
      <xdr:row>1</xdr:row>
      <xdr:rowOff>245309</xdr:rowOff>
    </xdr:to>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13250" y="0"/>
          <a:ext cx="7780867" cy="4739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50799</xdr:colOff>
      <xdr:row>18</xdr:row>
      <xdr:rowOff>355600</xdr:rowOff>
    </xdr:from>
    <xdr:to>
      <xdr:col>4</xdr:col>
      <xdr:colOff>166508</xdr:colOff>
      <xdr:row>22</xdr:row>
      <xdr:rowOff>203199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76399" y="17297400"/>
          <a:ext cx="9031109" cy="253999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0</xdr:colOff>
      <xdr:row>29</xdr:row>
      <xdr:rowOff>0</xdr:rowOff>
    </xdr:from>
    <xdr:to>
      <xdr:col>23</xdr:col>
      <xdr:colOff>19051</xdr:colOff>
      <xdr:row>37</xdr:row>
      <xdr:rowOff>10846</xdr:rowOff>
    </xdr:to>
    <xdr:pic>
      <xdr:nvPicPr>
        <xdr:cNvPr id="2" name="Picture 1">
          <a:extLst>
            <a:ext uri="{FF2B5EF4-FFF2-40B4-BE49-F238E27FC236}">
              <a16:creationId xmlns:a16="http://schemas.microsoft.com/office/drawing/2014/main" id="{AB49EC2C-C171-4D08-B3BA-24A1A46298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78700" y="8143875"/>
          <a:ext cx="9363075" cy="2068246"/>
        </a:xfrm>
        <a:prstGeom prst="rect">
          <a:avLst/>
        </a:prstGeom>
      </xdr:spPr>
    </xdr:pic>
    <xdr:clientData/>
  </xdr:twoCellAnchor>
  <xdr:twoCellAnchor editAs="oneCell">
    <xdr:from>
      <xdr:col>1</xdr:col>
      <xdr:colOff>2688167</xdr:colOff>
      <xdr:row>0</xdr:row>
      <xdr:rowOff>0</xdr:rowOff>
    </xdr:from>
    <xdr:to>
      <xdr:col>3</xdr:col>
      <xdr:colOff>1218143</xdr:colOff>
      <xdr:row>1</xdr:row>
      <xdr:rowOff>238959</xdr:rowOff>
    </xdr:to>
    <xdr:pic>
      <xdr:nvPicPr>
        <xdr:cNvPr id="3" name="Picture 2">
          <a:extLst>
            <a:ext uri="{FF2B5EF4-FFF2-40B4-BE49-F238E27FC236}">
              <a16:creationId xmlns:a16="http://schemas.microsoft.com/office/drawing/2014/main" id="{48A779C6-5EDB-4744-930F-700EB546C7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35992" y="0"/>
          <a:ext cx="7769225" cy="46755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4296834</xdr:colOff>
      <xdr:row>0</xdr:row>
      <xdr:rowOff>0</xdr:rowOff>
    </xdr:from>
    <xdr:to>
      <xdr:col>3</xdr:col>
      <xdr:colOff>829734</xdr:colOff>
      <xdr:row>1</xdr:row>
      <xdr:rowOff>217792</xdr:rowOff>
    </xdr:to>
    <xdr:pic>
      <xdr:nvPicPr>
        <xdr:cNvPr id="4" name="Picture 3">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501" y="0"/>
          <a:ext cx="7772400" cy="471792"/>
        </a:xfrm>
        <a:prstGeom prst="rect">
          <a:avLst/>
        </a:prstGeom>
      </xdr:spPr>
    </xdr:pic>
    <xdr:clientData/>
  </xdr:twoCellAnchor>
  <xdr:twoCellAnchor editAs="oneCell">
    <xdr:from>
      <xdr:col>0</xdr:col>
      <xdr:colOff>1100666</xdr:colOff>
      <xdr:row>35</xdr:row>
      <xdr:rowOff>0</xdr:rowOff>
    </xdr:from>
    <xdr:to>
      <xdr:col>2</xdr:col>
      <xdr:colOff>486832</xdr:colOff>
      <xdr:row>46</xdr:row>
      <xdr:rowOff>88610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a:stretch>
          <a:fillRect/>
        </a:stretch>
      </xdr:blipFill>
      <xdr:spPr>
        <a:xfrm>
          <a:off x="1100666" y="9673167"/>
          <a:ext cx="10138833" cy="288261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558800</xdr:colOff>
      <xdr:row>1</xdr:row>
      <xdr:rowOff>101600</xdr:rowOff>
    </xdr:from>
    <xdr:to>
      <xdr:col>5</xdr:col>
      <xdr:colOff>609600</xdr:colOff>
      <xdr:row>4</xdr:row>
      <xdr:rowOff>152400</xdr:rowOff>
    </xdr:to>
    <xdr:pic>
      <xdr:nvPicPr>
        <xdr:cNvPr id="2" name="Picture 2">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1400" y="101600"/>
          <a:ext cx="11557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158971</xdr:colOff>
      <xdr:row>0</xdr:row>
      <xdr:rowOff>150627</xdr:rowOff>
    </xdr:from>
    <xdr:to>
      <xdr:col>0</xdr:col>
      <xdr:colOff>1682750</xdr:colOff>
      <xdr:row>4</xdr:row>
      <xdr:rowOff>21563</xdr:rowOff>
    </xdr:to>
    <xdr:pic>
      <xdr:nvPicPr>
        <xdr:cNvPr id="2" name="Picture 2">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146" y="150627"/>
          <a:ext cx="1520604" cy="668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5</xdr:col>
      <xdr:colOff>57150</xdr:colOff>
      <xdr:row>0</xdr:row>
      <xdr:rowOff>0</xdr:rowOff>
    </xdr:from>
    <xdr:to>
      <xdr:col>8</xdr:col>
      <xdr:colOff>533400</xdr:colOff>
      <xdr:row>2</xdr:row>
      <xdr:rowOff>47625</xdr:rowOff>
    </xdr:to>
    <xdr:sp macro="" textlink="$K$17">
      <xdr:nvSpPr>
        <xdr:cNvPr id="2" name="Text Box 1">
          <a:extLst>
            <a:ext uri="{FF2B5EF4-FFF2-40B4-BE49-F238E27FC236}">
              <a16:creationId xmlns:a16="http://schemas.microsoft.com/office/drawing/2014/main" id="{00000000-0008-0000-1B00-000002000000}"/>
            </a:ext>
          </a:extLst>
        </xdr:cNvPr>
        <xdr:cNvSpPr txBox="1">
          <a:spLocks noChangeArrowheads="1" noTextEdit="1"/>
        </xdr:cNvSpPr>
      </xdr:nvSpPr>
      <xdr:spPr bwMode="auto">
        <a:xfrm>
          <a:off x="6267450" y="0"/>
          <a:ext cx="1933575" cy="463550"/>
        </a:xfrm>
        <a:prstGeom prst="rect">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27432" bIns="0" anchor="t" upright="1"/>
        <a:lstStyle/>
        <a:p>
          <a:pPr algn="ctr" rtl="0">
            <a:defRPr sz="1000"/>
          </a:pPr>
          <a:fld id="{DC395471-8E04-423C-B716-39B69A070538}" type="TxLink">
            <a:rPr lang="en-AU" sz="1000" b="1" i="0" u="none" strike="noStrike" baseline="0">
              <a:solidFill>
                <a:srgbClr val="000000"/>
              </a:solidFill>
              <a:latin typeface="Arial"/>
              <a:cs typeface="Arial"/>
            </a:rPr>
            <a:pPr algn="ctr" rtl="0">
              <a:defRPr sz="1000"/>
            </a:pPr>
            <a:t>Taxation Share of Retail Price, FOB to Retail: AU$10.00 per litre</a:t>
          </a:fld>
          <a:endParaRPr lang="en-AU"/>
        </a:p>
      </xdr:txBody>
    </xdr:sp>
    <xdr:clientData/>
  </xdr:twoCellAnchor>
  <xdr:twoCellAnchor>
    <xdr:from>
      <xdr:col>7</xdr:col>
      <xdr:colOff>190500</xdr:colOff>
      <xdr:row>15</xdr:row>
      <xdr:rowOff>9525</xdr:rowOff>
    </xdr:from>
    <xdr:to>
      <xdr:col>8</xdr:col>
      <xdr:colOff>28575</xdr:colOff>
      <xdr:row>16</xdr:row>
      <xdr:rowOff>28575</xdr:rowOff>
    </xdr:to>
    <xdr:sp macro="" textlink="$L$23">
      <xdr:nvSpPr>
        <xdr:cNvPr id="3" name="Text Box 2">
          <a:extLst>
            <a:ext uri="{FF2B5EF4-FFF2-40B4-BE49-F238E27FC236}">
              <a16:creationId xmlns:a16="http://schemas.microsoft.com/office/drawing/2014/main" id="{00000000-0008-0000-1B00-000003000000}"/>
            </a:ext>
          </a:extLst>
        </xdr:cNvPr>
        <xdr:cNvSpPr txBox="1">
          <a:spLocks noChangeArrowheads="1" noTextEdit="1"/>
        </xdr:cNvSpPr>
      </xdr:nvSpPr>
      <xdr:spPr bwMode="auto">
        <a:xfrm>
          <a:off x="7343775" y="2901950"/>
          <a:ext cx="358775" cy="20955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fld id="{9AE31D70-8C81-454F-AD84-C2BDAF72E572}" type="TxLink">
            <a:rPr lang="en-AU" sz="900" b="0" i="0" u="none" strike="noStrike" baseline="0">
              <a:solidFill>
                <a:srgbClr val="FFFFFF"/>
              </a:solidFill>
              <a:latin typeface="Arial"/>
              <a:cs typeface="Arial"/>
            </a:rPr>
            <a:pPr algn="l" rtl="0">
              <a:defRPr sz="1000"/>
            </a:pPr>
            <a:t>23%</a:t>
          </a:fld>
          <a:endParaRPr lang="en-AU"/>
        </a:p>
      </xdr:txBody>
    </xdr:sp>
    <xdr:clientData/>
  </xdr:twoCellAnchor>
  <xdr:twoCellAnchor>
    <xdr:from>
      <xdr:col>6</xdr:col>
      <xdr:colOff>38100</xdr:colOff>
      <xdr:row>15</xdr:row>
      <xdr:rowOff>9525</xdr:rowOff>
    </xdr:from>
    <xdr:to>
      <xdr:col>7</xdr:col>
      <xdr:colOff>266700</xdr:colOff>
      <xdr:row>16</xdr:row>
      <xdr:rowOff>28575</xdr:rowOff>
    </xdr:to>
    <xdr:sp macro="" textlink="">
      <xdr:nvSpPr>
        <xdr:cNvPr id="4" name="Text Box 3">
          <a:extLst>
            <a:ext uri="{FF2B5EF4-FFF2-40B4-BE49-F238E27FC236}">
              <a16:creationId xmlns:a16="http://schemas.microsoft.com/office/drawing/2014/main" id="{00000000-0008-0000-1B00-000004000000}"/>
            </a:ext>
          </a:extLst>
        </xdr:cNvPr>
        <xdr:cNvSpPr txBox="1">
          <a:spLocks noChangeArrowheads="1"/>
        </xdr:cNvSpPr>
      </xdr:nvSpPr>
      <xdr:spPr bwMode="auto">
        <a:xfrm>
          <a:off x="6667500" y="2901950"/>
          <a:ext cx="752475" cy="20955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900" b="0" i="0" u="none" strike="noStrike" baseline="0">
              <a:solidFill>
                <a:srgbClr val="FFFFFF"/>
              </a:solidFill>
              <a:latin typeface="Arial"/>
              <a:cs typeface="Arial"/>
            </a:rPr>
            <a:t>Tax share =</a:t>
          </a:r>
          <a:endParaRPr lang="en-AU"/>
        </a:p>
      </xdr:txBody>
    </xdr:sp>
    <xdr:clientData/>
  </xdr:twoCellAnchor>
  <xdr:twoCellAnchor>
    <xdr:from>
      <xdr:col>6</xdr:col>
      <xdr:colOff>0</xdr:colOff>
      <xdr:row>9</xdr:row>
      <xdr:rowOff>76200</xdr:rowOff>
    </xdr:from>
    <xdr:to>
      <xdr:col>7</xdr:col>
      <xdr:colOff>352425</xdr:colOff>
      <xdr:row>10</xdr:row>
      <xdr:rowOff>95250</xdr:rowOff>
    </xdr:to>
    <xdr:sp macro="" textlink="">
      <xdr:nvSpPr>
        <xdr:cNvPr id="5" name="Text Box 4">
          <a:extLst>
            <a:ext uri="{FF2B5EF4-FFF2-40B4-BE49-F238E27FC236}">
              <a16:creationId xmlns:a16="http://schemas.microsoft.com/office/drawing/2014/main" id="{00000000-0008-0000-1B00-000005000000}"/>
            </a:ext>
          </a:extLst>
        </xdr:cNvPr>
        <xdr:cNvSpPr txBox="1">
          <a:spLocks noChangeArrowheads="1"/>
        </xdr:cNvSpPr>
      </xdr:nvSpPr>
      <xdr:spPr bwMode="auto">
        <a:xfrm>
          <a:off x="6629400" y="1828800"/>
          <a:ext cx="873125" cy="20955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900" b="0" i="0" u="none" strike="noStrike" baseline="0">
              <a:solidFill>
                <a:srgbClr val="000000"/>
              </a:solidFill>
              <a:latin typeface="Arial"/>
              <a:cs typeface="Arial"/>
            </a:rPr>
            <a:t>Other share =</a:t>
          </a:r>
          <a:endParaRPr lang="en-AU"/>
        </a:p>
      </xdr:txBody>
    </xdr:sp>
    <xdr:clientData/>
  </xdr:twoCellAnchor>
  <xdr:twoCellAnchor>
    <xdr:from>
      <xdr:col>7</xdr:col>
      <xdr:colOff>257175</xdr:colOff>
      <xdr:row>9</xdr:row>
      <xdr:rowOff>66675</xdr:rowOff>
    </xdr:from>
    <xdr:to>
      <xdr:col>8</xdr:col>
      <xdr:colOff>66675</xdr:colOff>
      <xdr:row>10</xdr:row>
      <xdr:rowOff>85725</xdr:rowOff>
    </xdr:to>
    <xdr:sp macro="" textlink="$L$24">
      <xdr:nvSpPr>
        <xdr:cNvPr id="6" name="Text Box 5">
          <a:extLst>
            <a:ext uri="{FF2B5EF4-FFF2-40B4-BE49-F238E27FC236}">
              <a16:creationId xmlns:a16="http://schemas.microsoft.com/office/drawing/2014/main" id="{00000000-0008-0000-1B00-000006000000}"/>
            </a:ext>
          </a:extLst>
        </xdr:cNvPr>
        <xdr:cNvSpPr txBox="1">
          <a:spLocks noChangeArrowheads="1" noTextEdit="1"/>
        </xdr:cNvSpPr>
      </xdr:nvSpPr>
      <xdr:spPr bwMode="auto">
        <a:xfrm>
          <a:off x="7407275" y="1816100"/>
          <a:ext cx="333375" cy="20955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fld id="{66C3B5DE-32E9-44C3-9640-2BFE92ADBFAE}" type="TxLink">
            <a:rPr lang="en-AU" sz="900" b="0" i="0" u="none" strike="noStrike" baseline="0">
              <a:solidFill>
                <a:srgbClr val="000000"/>
              </a:solidFill>
              <a:latin typeface="Arial"/>
              <a:cs typeface="Arial"/>
            </a:rPr>
            <a:pPr algn="l" rtl="0">
              <a:defRPr sz="1000"/>
            </a:pPr>
            <a:t>77%</a:t>
          </a:fld>
          <a:endParaRPr lang="en-AU"/>
        </a:p>
      </xdr:txBody>
    </xdr:sp>
    <xdr:clientData/>
  </xdr:twoCellAnchor>
  <xdr:twoCellAnchor editAs="oneCell">
    <xdr:from>
      <xdr:col>6</xdr:col>
      <xdr:colOff>0</xdr:colOff>
      <xdr:row>2</xdr:row>
      <xdr:rowOff>38100</xdr:rowOff>
    </xdr:from>
    <xdr:to>
      <xdr:col>8</xdr:col>
      <xdr:colOff>6350</xdr:colOff>
      <xdr:row>9</xdr:row>
      <xdr:rowOff>19050</xdr:rowOff>
    </xdr:to>
    <xdr:pic>
      <xdr:nvPicPr>
        <xdr:cNvPr id="7" name="Picture 6" descr="winetop">
          <a:extLst>
            <a:ext uri="{FF2B5EF4-FFF2-40B4-BE49-F238E27FC236}">
              <a16:creationId xmlns:a16="http://schemas.microsoft.com/office/drawing/2014/main" id="{00000000-0008-0000-1B00-000007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0" y="457200"/>
          <a:ext cx="1054100" cy="13144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3829050</xdr:colOff>
      <xdr:row>0</xdr:row>
      <xdr:rowOff>0</xdr:rowOff>
    </xdr:from>
    <xdr:to>
      <xdr:col>3</xdr:col>
      <xdr:colOff>361950</xdr:colOff>
      <xdr:row>1</xdr:row>
      <xdr:rowOff>217792</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4425" y="0"/>
          <a:ext cx="7772400" cy="47814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506951</xdr:colOff>
      <xdr:row>49</xdr:row>
      <xdr:rowOff>85725</xdr:rowOff>
    </xdr:to>
    <xdr:pic>
      <xdr:nvPicPr>
        <xdr:cNvPr id="3" name="Picture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01700"/>
          <a:ext cx="7107776" cy="10058400"/>
        </a:xfrm>
        <a:prstGeom prst="rect">
          <a:avLst/>
        </a:prstGeom>
      </xdr:spPr>
    </xdr:pic>
    <xdr:clientData/>
  </xdr:twoCellAnchor>
  <xdr:twoCellAnchor editAs="oneCell">
    <xdr:from>
      <xdr:col>9</xdr:col>
      <xdr:colOff>25400</xdr:colOff>
      <xdr:row>0</xdr:row>
      <xdr:rowOff>0</xdr:rowOff>
    </xdr:from>
    <xdr:to>
      <xdr:col>17</xdr:col>
      <xdr:colOff>526001</xdr:colOff>
      <xdr:row>49</xdr:row>
      <xdr:rowOff>85725</xdr:rowOff>
    </xdr:to>
    <xdr:pic>
      <xdr:nvPicPr>
        <xdr:cNvPr id="5" name="Picture 4">
          <a:extLst>
            <a:ext uri="{FF2B5EF4-FFF2-40B4-BE49-F238E27FC236}">
              <a16:creationId xmlns:a16="http://schemas.microsoft.com/office/drawing/2014/main" id="{00000000-0008-0000-2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54900" y="863600"/>
          <a:ext cx="7107776" cy="100584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254000</xdr:colOff>
      <xdr:row>21</xdr:row>
      <xdr:rowOff>189309</xdr:rowOff>
    </xdr:from>
    <xdr:to>
      <xdr:col>9</xdr:col>
      <xdr:colOff>476250</xdr:colOff>
      <xdr:row>25</xdr:row>
      <xdr:rowOff>46434</xdr:rowOff>
    </xdr:to>
    <xdr:pic>
      <xdr:nvPicPr>
        <xdr:cNvPr id="3" name="Picture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a:stretch>
          <a:fillRect/>
        </a:stretch>
      </xdr:blipFill>
      <xdr:spPr>
        <a:xfrm>
          <a:off x="254000" y="7669609"/>
          <a:ext cx="5283200" cy="1485900"/>
        </a:xfrm>
        <a:prstGeom prst="rect">
          <a:avLst/>
        </a:prstGeom>
      </xdr:spPr>
    </xdr:pic>
    <xdr:clientData/>
  </xdr:twoCellAnchor>
  <xdr:twoCellAnchor>
    <xdr:from>
      <xdr:col>0</xdr:col>
      <xdr:colOff>152400</xdr:colOff>
      <xdr:row>6</xdr:row>
      <xdr:rowOff>12700</xdr:rowOff>
    </xdr:from>
    <xdr:to>
      <xdr:col>5</xdr:col>
      <xdr:colOff>266700</xdr:colOff>
      <xdr:row>14</xdr:row>
      <xdr:rowOff>63500</xdr:rowOff>
    </xdr:to>
    <xdr:sp macro="" textlink="">
      <xdr:nvSpPr>
        <xdr:cNvPr id="4" name="TextBox 3">
          <a:extLst>
            <a:ext uri="{FF2B5EF4-FFF2-40B4-BE49-F238E27FC236}">
              <a16:creationId xmlns:a16="http://schemas.microsoft.com/office/drawing/2014/main" id="{00000000-0008-0000-2100-000004000000}"/>
            </a:ext>
          </a:extLst>
        </xdr:cNvPr>
        <xdr:cNvSpPr txBox="1"/>
      </xdr:nvSpPr>
      <xdr:spPr>
        <a:xfrm>
          <a:off x="152400" y="1282700"/>
          <a:ext cx="4241800" cy="3314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800" b="0" i="0" u="none" strike="noStrike">
              <a:solidFill>
                <a:schemeClr val="dk1"/>
              </a:solidFill>
              <a:effectLst/>
              <a:latin typeface="GT Walsheim Medium" pitchFamily="2" charset="77"/>
              <a:ea typeface="+mn-ea"/>
              <a:cs typeface="+mn-cs"/>
            </a:rPr>
            <a:t>Enter your FOB into the green cell in the middle to see how your FOB will change depending on the </a:t>
          </a:r>
          <a:r>
            <a:rPr lang="en-AU" sz="1800">
              <a:latin typeface="GT Walsheim Medium" pitchFamily="2" charset="77"/>
            </a:rPr>
            <a:t>$ increase in AUD relative value.</a:t>
          </a:r>
          <a:endParaRPr lang="en-US" sz="1800">
            <a:latin typeface="GT Walsheim Medium" pitchFamily="2" charset="77"/>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1289050</xdr:colOff>
          <xdr:row>18</xdr:row>
          <xdr:rowOff>279400</xdr:rowOff>
        </xdr:from>
        <xdr:to>
          <xdr:col>3</xdr:col>
          <xdr:colOff>1289050</xdr:colOff>
          <xdr:row>20</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1289050</xdr:colOff>
          <xdr:row>19</xdr:row>
          <xdr:rowOff>279400</xdr:rowOff>
        </xdr:from>
        <xdr:to>
          <xdr:col>3</xdr:col>
          <xdr:colOff>1289050</xdr:colOff>
          <xdr:row>21</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1289050</xdr:colOff>
          <xdr:row>20</xdr:row>
          <xdr:rowOff>279400</xdr:rowOff>
        </xdr:from>
        <xdr:to>
          <xdr:col>3</xdr:col>
          <xdr:colOff>1289050</xdr:colOff>
          <xdr:row>22</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5</xdr:col>
      <xdr:colOff>42333</xdr:colOff>
      <xdr:row>39</xdr:row>
      <xdr:rowOff>211666</xdr:rowOff>
    </xdr:from>
    <xdr:to>
      <xdr:col>9</xdr:col>
      <xdr:colOff>479777</xdr:colOff>
      <xdr:row>41</xdr:row>
      <xdr:rowOff>156985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4222" y="12008555"/>
          <a:ext cx="5023555" cy="1412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860778</xdr:colOff>
      <xdr:row>10</xdr:row>
      <xdr:rowOff>112889</xdr:rowOff>
    </xdr:from>
    <xdr:to>
      <xdr:col>4</xdr:col>
      <xdr:colOff>533399</xdr:colOff>
      <xdr:row>15</xdr:row>
      <xdr:rowOff>56798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0778" y="3872089"/>
          <a:ext cx="5019321" cy="14044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2257777</xdr:colOff>
      <xdr:row>5</xdr:row>
      <xdr:rowOff>84667</xdr:rowOff>
    </xdr:from>
    <xdr:to>
      <xdr:col>3</xdr:col>
      <xdr:colOff>855131</xdr:colOff>
      <xdr:row>8</xdr:row>
      <xdr:rowOff>324909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7777" y="2511778"/>
          <a:ext cx="5020732" cy="1425575"/>
        </a:xfrm>
        <a:prstGeom prst="rect">
          <a:avLst/>
        </a:prstGeom>
        <a:solidFill>
          <a:schemeClr val="accent2"/>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7</xdr:row>
      <xdr:rowOff>0</xdr:rowOff>
    </xdr:from>
    <xdr:to>
      <xdr:col>15</xdr:col>
      <xdr:colOff>211193</xdr:colOff>
      <xdr:row>11</xdr:row>
      <xdr:rowOff>238869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2600" y="1587500"/>
          <a:ext cx="5028359" cy="14072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141111</xdr:colOff>
      <xdr:row>13</xdr:row>
      <xdr:rowOff>84667</xdr:rowOff>
    </xdr:from>
    <xdr:to>
      <xdr:col>3</xdr:col>
      <xdr:colOff>1605843</xdr:colOff>
      <xdr:row>14</xdr:row>
      <xdr:rowOff>550686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111" y="10131778"/>
          <a:ext cx="5020732" cy="1425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3</xdr:col>
      <xdr:colOff>887459</xdr:colOff>
      <xdr:row>9</xdr:row>
      <xdr:rowOff>132484</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1545" y="219364"/>
          <a:ext cx="5020732" cy="14255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3181350</xdr:colOff>
      <xdr:row>0</xdr:row>
      <xdr:rowOff>0</xdr:rowOff>
    </xdr:from>
    <xdr:to>
      <xdr:col>2</xdr:col>
      <xdr:colOff>142875</xdr:colOff>
      <xdr:row>1</xdr:row>
      <xdr:rowOff>220967</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7675" y="0"/>
          <a:ext cx="7772400" cy="471792"/>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HDK data" refreshOnLoad="1" preserveFormatting="0" connectionId="1" xr16:uid="{E09D6B7B-F37D-774C-BF4A-CB42A6C051CF}"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change rate data" refreshOnLoad="1" preserveFormatting="0" connectionId="2" xr16:uid="{CE11D2D7-D3FE-174A-904B-764A60827D11}" autoFormatId="16" applyNumberFormats="0" applyBorderFormats="0" applyFontFormats="1" applyPatternFormats="1" applyAlignmentFormats="0" applyWidthHeightFormats="0"/>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r.wineaustralia.com/" TargetMode="External"/><Relationship Id="rId13" Type="http://schemas.openxmlformats.org/officeDocument/2006/relationships/hyperlink" Target="http://www.trustintaste.com/" TargetMode="External"/><Relationship Id="rId18" Type="http://schemas.openxmlformats.org/officeDocument/2006/relationships/hyperlink" Target="http://www.asc-wines.com/" TargetMode="External"/><Relationship Id="rId26" Type="http://schemas.openxmlformats.org/officeDocument/2006/relationships/printerSettings" Target="../printerSettings/printerSettings1.bin"/><Relationship Id="rId3" Type="http://schemas.openxmlformats.org/officeDocument/2006/relationships/hyperlink" Target="https://www.zomato.com/" TargetMode="External"/><Relationship Id="rId21" Type="http://schemas.openxmlformats.org/officeDocument/2006/relationships/hyperlink" Target="http://www.jd.com/" TargetMode="External"/><Relationship Id="rId7" Type="http://schemas.openxmlformats.org/officeDocument/2006/relationships/hyperlink" Target="https://beveragetradenetwork.com/" TargetMode="External"/><Relationship Id="rId12" Type="http://schemas.openxmlformats.org/officeDocument/2006/relationships/hyperlink" Target="https://www.wechat.com/en/" TargetMode="External"/><Relationship Id="rId17" Type="http://schemas.openxmlformats.org/officeDocument/2006/relationships/hyperlink" Target="http://www.inlandtrading.com.au/" TargetMode="External"/><Relationship Id="rId25" Type="http://schemas.openxmlformats.org/officeDocument/2006/relationships/hyperlink" Target="https://www.enowinerooms.com/the-eno-trio" TargetMode="External"/><Relationship Id="rId2" Type="http://schemas.openxmlformats.org/officeDocument/2006/relationships/hyperlink" Target="https://www.vivino.com/" TargetMode="External"/><Relationship Id="rId16" Type="http://schemas.openxmlformats.org/officeDocument/2006/relationships/hyperlink" Target="https://limmited.com/" TargetMode="External"/><Relationship Id="rId20" Type="http://schemas.openxmlformats.org/officeDocument/2006/relationships/hyperlink" Target="https://www.tmall.com/" TargetMode="External"/><Relationship Id="rId1" Type="http://schemas.openxmlformats.org/officeDocument/2006/relationships/hyperlink" Target="https://www.wine-searcher.com/" TargetMode="External"/><Relationship Id="rId6" Type="http://schemas.openxmlformats.org/officeDocument/2006/relationships/hyperlink" Target="https://www.merchant23.com/" TargetMode="External"/><Relationship Id="rId11" Type="http://schemas.openxmlformats.org/officeDocument/2006/relationships/hyperlink" Target="https://www.winespectator.com/webfeature/show/id/New-York-City-Top-Restaurant-Wine-Lists" TargetMode="External"/><Relationship Id="rId24" Type="http://schemas.openxmlformats.org/officeDocument/2006/relationships/hyperlink" Target="https://www.nakedwines.com.au/" TargetMode="External"/><Relationship Id="rId5" Type="http://schemas.openxmlformats.org/officeDocument/2006/relationships/hyperlink" Target="https://www.winespectator.com/" TargetMode="External"/><Relationship Id="rId15" Type="http://schemas.openxmlformats.org/officeDocument/2006/relationships/hyperlink" Target="https://www.blacksquare.io/" TargetMode="External"/><Relationship Id="rId23" Type="http://schemas.openxmlformats.org/officeDocument/2006/relationships/hyperlink" Target="https://www.amazon.com/b?ie=UTF8&amp;node=16008589011" TargetMode="External"/><Relationship Id="rId10" Type="http://schemas.openxmlformats.org/officeDocument/2006/relationships/hyperlink" Target="https://libdib.com/" TargetMode="External"/><Relationship Id="rId19" Type="http://schemas.openxmlformats.org/officeDocument/2006/relationships/hyperlink" Target="https://asialinkbusiness.com.au/china/business-practicalities-in-china/economic-and-trade-zones-in-china?doNothing=1" TargetMode="External"/><Relationship Id="rId4" Type="http://schemas.openxmlformats.org/officeDocument/2006/relationships/hyperlink" Target="https://drizly.com/" TargetMode="External"/><Relationship Id="rId9" Type="http://schemas.openxmlformats.org/officeDocument/2006/relationships/hyperlink" Target="https://www.blackboxx.io/" TargetMode="External"/><Relationship Id="rId14" Type="http://schemas.openxmlformats.org/officeDocument/2006/relationships/hyperlink" Target="https://www.cellardoorexports.com.au/" TargetMode="External"/><Relationship Id="rId22" Type="http://schemas.openxmlformats.org/officeDocument/2006/relationships/hyperlink" Target="https://www.totalwine.com/" TargetMode="External"/><Relationship Id="rId27"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8" Type="http://schemas.openxmlformats.org/officeDocument/2006/relationships/hyperlink" Target="https://www.doingbusinesswithlcbo.com/content/dbwl/en/basepage/home/new-supplier-agent/Pricing/PricingCalculators.html" TargetMode="External"/><Relationship Id="rId13" Type="http://schemas.openxmlformats.org/officeDocument/2006/relationships/vmlDrawing" Target="../drawings/vmlDrawing2.vml"/><Relationship Id="rId3" Type="http://schemas.openxmlformats.org/officeDocument/2006/relationships/hyperlink" Target="https://www.doingbusinesswithlcbo.com/content/dbwl/en/basepage/home/new-supplier-agent/Pricing/_jcr_content/content1/attachments_1073613131/file.res/Pricing%20FAQ%20document.pdf" TargetMode="External"/><Relationship Id="rId7" Type="http://schemas.openxmlformats.org/officeDocument/2006/relationships/hyperlink" Target="mailto:pricing@lcbo.com" TargetMode="External"/><Relationship Id="rId12" Type="http://schemas.openxmlformats.org/officeDocument/2006/relationships/drawing" Target="../drawings/drawing23.xml"/><Relationship Id="rId2" Type="http://schemas.openxmlformats.org/officeDocument/2006/relationships/hyperlink" Target="mailto:origin.certificates@lcbo.com" TargetMode="External"/><Relationship Id="rId1" Type="http://schemas.openxmlformats.org/officeDocument/2006/relationships/hyperlink" Target="mailto:freightrate.inquiry@lcbo.com" TargetMode="External"/><Relationship Id="rId6" Type="http://schemas.openxmlformats.org/officeDocument/2006/relationships/hyperlink" Target="mailto:Customs.Department@lcbo.com" TargetMode="External"/><Relationship Id="rId11" Type="http://schemas.openxmlformats.org/officeDocument/2006/relationships/printerSettings" Target="../printerSettings/printerSettings14.bin"/><Relationship Id="rId5" Type="http://schemas.openxmlformats.org/officeDocument/2006/relationships/hyperlink" Target="https://www.doingbusinesswithlcbo.com/content/dbwl/en/basepage/home/new-supplier-agent/Pricing/HelpfulToolsandLinks.html" TargetMode="External"/><Relationship Id="rId10" Type="http://schemas.openxmlformats.org/officeDocument/2006/relationships/hyperlink" Target="https://www.doingbusinesswithlcbo.com/content/dbwl/en/basepage/home/new-supplier-agent/Customs/LCBOFTAProgram.html" TargetMode="External"/><Relationship Id="rId4" Type="http://schemas.openxmlformats.org/officeDocument/2006/relationships/hyperlink" Target="https://www.doingbusinesswithlcbo.com/content/dbwl/en/basepage/home/new-supplier-agent/Pricing/HelpfulToolsandLinks.html" TargetMode="External"/><Relationship Id="rId9" Type="http://schemas.openxmlformats.org/officeDocument/2006/relationships/hyperlink" Target="https://www.doingbusinesswithlcbo.com/content/dbwl/en/basepage/home/new-supplier-agent/Pricing.html" TargetMode="External"/><Relationship Id="rId14" Type="http://schemas.openxmlformats.org/officeDocument/2006/relationships/comments" Target="../comments1.xml"/></Relationships>
</file>

<file path=xl/worksheets/_rels/sheet27.xml.rels><?xml version="1.0" encoding="UTF-8" standalone="yes"?>
<Relationships xmlns="http://schemas.openxmlformats.org/package/2006/relationships"><Relationship Id="rId8" Type="http://schemas.openxmlformats.org/officeDocument/2006/relationships/hyperlink" Target="https://www.doingbusinesswithlcbo.com/content/dbwl/en/basepage/home/new-supplier-agent/Pricing/PricingCalculators.html" TargetMode="External"/><Relationship Id="rId13" Type="http://schemas.openxmlformats.org/officeDocument/2006/relationships/comments" Target="../comments2.xml"/><Relationship Id="rId3" Type="http://schemas.openxmlformats.org/officeDocument/2006/relationships/hyperlink" Target="https://www.doingbusinesswithlcbo.com/content/dbwl/en/basepage/home/new-supplier-agent/Pricing/_jcr_content/content1/attachments_1073613131/file.res/Pricing%20FAQ%20document.pdf" TargetMode="External"/><Relationship Id="rId7" Type="http://schemas.openxmlformats.org/officeDocument/2006/relationships/hyperlink" Target="mailto:pricing@lcbo.com" TargetMode="External"/><Relationship Id="rId12" Type="http://schemas.openxmlformats.org/officeDocument/2006/relationships/vmlDrawing" Target="../drawings/vmlDrawing3.vml"/><Relationship Id="rId2" Type="http://schemas.openxmlformats.org/officeDocument/2006/relationships/hyperlink" Target="mailto:origin.certificates@lcbo.com" TargetMode="External"/><Relationship Id="rId1" Type="http://schemas.openxmlformats.org/officeDocument/2006/relationships/hyperlink" Target="mailto:freightrate.inquiry@lcbo.com" TargetMode="External"/><Relationship Id="rId6" Type="http://schemas.openxmlformats.org/officeDocument/2006/relationships/hyperlink" Target="mailto:Customs.Department@lcbo.com" TargetMode="External"/><Relationship Id="rId11" Type="http://schemas.openxmlformats.org/officeDocument/2006/relationships/printerSettings" Target="../printerSettings/printerSettings15.bin"/><Relationship Id="rId5" Type="http://schemas.openxmlformats.org/officeDocument/2006/relationships/hyperlink" Target="https://www.doingbusinesswithlcbo.com/content/dbwl/en/basepage/home/new-supplier-agent/Pricing/HelpfulToolsandLinks.html" TargetMode="External"/><Relationship Id="rId10" Type="http://schemas.openxmlformats.org/officeDocument/2006/relationships/hyperlink" Target="https://www.doingbusinesswithlcbo.com/content/dbwl/en/basepage/home/new-supplier-agent/Customs/LCBOFTAProgram.html" TargetMode="External"/><Relationship Id="rId4" Type="http://schemas.openxmlformats.org/officeDocument/2006/relationships/hyperlink" Target="https://www.doingbusinesswithlcbo.com/content/dbwl/en/basepage/home/new-supplier-agent/Pricing/HelpfulToolsandLinks.html" TargetMode="External"/><Relationship Id="rId9" Type="http://schemas.openxmlformats.org/officeDocument/2006/relationships/hyperlink" Target="https://www.doingbusinesswithlcbo.com/content/dbwl/en/basepage/home/new-supplier-agent/Pricing.html"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6.xml.rels><?xml version="1.0" encoding="UTF-8" standalone="yes"?>
<Relationships xmlns="http://schemas.openxmlformats.org/package/2006/relationships"><Relationship Id="rId26" Type="http://schemas.openxmlformats.org/officeDocument/2006/relationships/hyperlink" Target="https://www.x-rates.com/graph/?from=BWP&amp;to=AUD" TargetMode="External"/><Relationship Id="rId117" Type="http://schemas.openxmlformats.org/officeDocument/2006/relationships/hyperlink" Target="https://www.x-rates.com/graph/?from=AUD&amp;to=AED" TargetMode="External"/><Relationship Id="rId21" Type="http://schemas.openxmlformats.org/officeDocument/2006/relationships/hyperlink" Target="https://www.x-rates.com/graph/?from=AUD&amp;to=ARS" TargetMode="External"/><Relationship Id="rId42" Type="http://schemas.openxmlformats.org/officeDocument/2006/relationships/hyperlink" Target="https://www.x-rates.com/graph/?from=CZK&amp;to=AUD" TargetMode="External"/><Relationship Id="rId47" Type="http://schemas.openxmlformats.org/officeDocument/2006/relationships/hyperlink" Target="https://www.x-rates.com/graph/?from=AUD&amp;to=HKD" TargetMode="External"/><Relationship Id="rId63" Type="http://schemas.openxmlformats.org/officeDocument/2006/relationships/hyperlink" Target="https://www.x-rates.com/graph/?from=AUD&amp;to=KZT" TargetMode="External"/><Relationship Id="rId68" Type="http://schemas.openxmlformats.org/officeDocument/2006/relationships/hyperlink" Target="https://www.x-rates.com/graph/?from=KWD&amp;to=AUD" TargetMode="External"/><Relationship Id="rId84" Type="http://schemas.openxmlformats.org/officeDocument/2006/relationships/hyperlink" Target="https://www.x-rates.com/graph/?from=OMR&amp;to=AUD" TargetMode="External"/><Relationship Id="rId89" Type="http://schemas.openxmlformats.org/officeDocument/2006/relationships/hyperlink" Target="https://www.x-rates.com/graph/?from=AUD&amp;to=PLN" TargetMode="External"/><Relationship Id="rId112" Type="http://schemas.openxmlformats.org/officeDocument/2006/relationships/hyperlink" Target="https://www.x-rates.com/graph/?from=THB&amp;to=AUD" TargetMode="External"/><Relationship Id="rId16" Type="http://schemas.openxmlformats.org/officeDocument/2006/relationships/hyperlink" Target="https://www.x-rates.com/graph/?from=MYR&amp;to=AUD" TargetMode="External"/><Relationship Id="rId107" Type="http://schemas.openxmlformats.org/officeDocument/2006/relationships/hyperlink" Target="https://www.x-rates.com/graph/?from=AUD&amp;to=CHF" TargetMode="External"/><Relationship Id="rId11" Type="http://schemas.openxmlformats.org/officeDocument/2006/relationships/hyperlink" Target="https://www.x-rates.com/graph/?from=AUD&amp;to=SGD" TargetMode="External"/><Relationship Id="rId32" Type="http://schemas.openxmlformats.org/officeDocument/2006/relationships/hyperlink" Target="https://www.x-rates.com/graph/?from=BGN&amp;to=AUD" TargetMode="External"/><Relationship Id="rId37" Type="http://schemas.openxmlformats.org/officeDocument/2006/relationships/hyperlink" Target="https://www.x-rates.com/graph/?from=AUD&amp;to=CNY" TargetMode="External"/><Relationship Id="rId53" Type="http://schemas.openxmlformats.org/officeDocument/2006/relationships/hyperlink" Target="https://www.x-rates.com/graph/?from=AUD&amp;to=INR" TargetMode="External"/><Relationship Id="rId58" Type="http://schemas.openxmlformats.org/officeDocument/2006/relationships/hyperlink" Target="https://www.x-rates.com/graph/?from=IRR&amp;to=AUD" TargetMode="External"/><Relationship Id="rId74" Type="http://schemas.openxmlformats.org/officeDocument/2006/relationships/hyperlink" Target="https://www.x-rates.com/graph/?from=MUR&amp;to=AUD" TargetMode="External"/><Relationship Id="rId79" Type="http://schemas.openxmlformats.org/officeDocument/2006/relationships/hyperlink" Target="https://www.x-rates.com/graph/?from=AUD&amp;to=NZD" TargetMode="External"/><Relationship Id="rId102" Type="http://schemas.openxmlformats.org/officeDocument/2006/relationships/hyperlink" Target="https://www.x-rates.com/graph/?from=ZAR&amp;to=AUD" TargetMode="External"/><Relationship Id="rId123" Type="http://schemas.openxmlformats.org/officeDocument/2006/relationships/queryTable" Target="../queryTables/queryTable2.xml"/><Relationship Id="rId5" Type="http://schemas.openxmlformats.org/officeDocument/2006/relationships/hyperlink" Target="https://www.x-rates.com/graph/?from=AUD&amp;to=GBP" TargetMode="External"/><Relationship Id="rId90" Type="http://schemas.openxmlformats.org/officeDocument/2006/relationships/hyperlink" Target="https://www.x-rates.com/graph/?from=PLN&amp;to=AUD" TargetMode="External"/><Relationship Id="rId95" Type="http://schemas.openxmlformats.org/officeDocument/2006/relationships/hyperlink" Target="https://www.x-rates.com/graph/?from=AUD&amp;to=RUB" TargetMode="External"/><Relationship Id="rId22" Type="http://schemas.openxmlformats.org/officeDocument/2006/relationships/hyperlink" Target="https://www.x-rates.com/graph/?from=ARS&amp;to=AUD" TargetMode="External"/><Relationship Id="rId27" Type="http://schemas.openxmlformats.org/officeDocument/2006/relationships/hyperlink" Target="https://www.x-rates.com/graph/?from=AUD&amp;to=BRL" TargetMode="External"/><Relationship Id="rId43" Type="http://schemas.openxmlformats.org/officeDocument/2006/relationships/hyperlink" Target="https://www.x-rates.com/graph/?from=AUD&amp;to=DKK" TargetMode="External"/><Relationship Id="rId48" Type="http://schemas.openxmlformats.org/officeDocument/2006/relationships/hyperlink" Target="https://www.x-rates.com/graph/?from=HKD&amp;to=AUD" TargetMode="External"/><Relationship Id="rId64" Type="http://schemas.openxmlformats.org/officeDocument/2006/relationships/hyperlink" Target="https://www.x-rates.com/graph/?from=KZT&amp;to=AUD" TargetMode="External"/><Relationship Id="rId69" Type="http://schemas.openxmlformats.org/officeDocument/2006/relationships/hyperlink" Target="https://www.x-rates.com/graph/?from=AUD&amp;to=LYD" TargetMode="External"/><Relationship Id="rId113" Type="http://schemas.openxmlformats.org/officeDocument/2006/relationships/hyperlink" Target="https://www.x-rates.com/graph/?from=AUD&amp;to=TTD" TargetMode="External"/><Relationship Id="rId118" Type="http://schemas.openxmlformats.org/officeDocument/2006/relationships/hyperlink" Target="https://www.x-rates.com/graph/?from=AED&amp;to=AUD" TargetMode="External"/><Relationship Id="rId80" Type="http://schemas.openxmlformats.org/officeDocument/2006/relationships/hyperlink" Target="https://www.x-rates.com/graph/?from=NZD&amp;to=AUD" TargetMode="External"/><Relationship Id="rId85" Type="http://schemas.openxmlformats.org/officeDocument/2006/relationships/hyperlink" Target="https://www.x-rates.com/graph/?from=AUD&amp;to=PKR" TargetMode="External"/><Relationship Id="rId12" Type="http://schemas.openxmlformats.org/officeDocument/2006/relationships/hyperlink" Target="https://www.x-rates.com/graph/?from=SGD&amp;to=AUD" TargetMode="External"/><Relationship Id="rId17" Type="http://schemas.openxmlformats.org/officeDocument/2006/relationships/hyperlink" Target="https://www.x-rates.com/graph/?from=AUD&amp;to=JPY" TargetMode="External"/><Relationship Id="rId33" Type="http://schemas.openxmlformats.org/officeDocument/2006/relationships/hyperlink" Target="https://www.x-rates.com/graph/?from=AUD&amp;to=CAD" TargetMode="External"/><Relationship Id="rId38" Type="http://schemas.openxmlformats.org/officeDocument/2006/relationships/hyperlink" Target="https://www.x-rates.com/graph/?from=CNY&amp;to=AUD" TargetMode="External"/><Relationship Id="rId59" Type="http://schemas.openxmlformats.org/officeDocument/2006/relationships/hyperlink" Target="https://www.x-rates.com/graph/?from=AUD&amp;to=ILS" TargetMode="External"/><Relationship Id="rId103" Type="http://schemas.openxmlformats.org/officeDocument/2006/relationships/hyperlink" Target="https://www.x-rates.com/graph/?from=AUD&amp;to=LKR" TargetMode="External"/><Relationship Id="rId108" Type="http://schemas.openxmlformats.org/officeDocument/2006/relationships/hyperlink" Target="https://www.x-rates.com/graph/?from=CHF&amp;to=AUD" TargetMode="External"/><Relationship Id="rId54" Type="http://schemas.openxmlformats.org/officeDocument/2006/relationships/hyperlink" Target="https://www.x-rates.com/graph/?from=INR&amp;to=AUD" TargetMode="External"/><Relationship Id="rId70" Type="http://schemas.openxmlformats.org/officeDocument/2006/relationships/hyperlink" Target="https://www.x-rates.com/graph/?from=LYD&amp;to=AUD" TargetMode="External"/><Relationship Id="rId75" Type="http://schemas.openxmlformats.org/officeDocument/2006/relationships/hyperlink" Target="https://www.x-rates.com/graph/?from=AUD&amp;to=MXN" TargetMode="External"/><Relationship Id="rId91" Type="http://schemas.openxmlformats.org/officeDocument/2006/relationships/hyperlink" Target="https://www.x-rates.com/graph/?from=AUD&amp;to=QAR" TargetMode="External"/><Relationship Id="rId96" Type="http://schemas.openxmlformats.org/officeDocument/2006/relationships/hyperlink" Target="https://www.x-rates.com/graph/?from=RUB&amp;to=AUD" TargetMode="External"/><Relationship Id="rId1" Type="http://schemas.openxmlformats.org/officeDocument/2006/relationships/hyperlink" Target="https://www.x-rates.com/graph/?from=AUD&amp;to=USD" TargetMode="External"/><Relationship Id="rId6" Type="http://schemas.openxmlformats.org/officeDocument/2006/relationships/hyperlink" Target="https://www.x-rates.com/graph/?from=GBP&amp;to=AUD" TargetMode="External"/><Relationship Id="rId23" Type="http://schemas.openxmlformats.org/officeDocument/2006/relationships/hyperlink" Target="https://www.x-rates.com/graph/?from=AUD&amp;to=BHD" TargetMode="External"/><Relationship Id="rId28" Type="http://schemas.openxmlformats.org/officeDocument/2006/relationships/hyperlink" Target="https://www.x-rates.com/graph/?from=BRL&amp;to=AUD" TargetMode="External"/><Relationship Id="rId49" Type="http://schemas.openxmlformats.org/officeDocument/2006/relationships/hyperlink" Target="https://www.x-rates.com/graph/?from=AUD&amp;to=HUF" TargetMode="External"/><Relationship Id="rId114" Type="http://schemas.openxmlformats.org/officeDocument/2006/relationships/hyperlink" Target="https://www.x-rates.com/graph/?from=TTD&amp;to=AUD" TargetMode="External"/><Relationship Id="rId119" Type="http://schemas.openxmlformats.org/officeDocument/2006/relationships/hyperlink" Target="https://www.x-rates.com/graph/?from=AUD&amp;to=GBP" TargetMode="External"/><Relationship Id="rId44" Type="http://schemas.openxmlformats.org/officeDocument/2006/relationships/hyperlink" Target="https://www.x-rates.com/graph/?from=DKK&amp;to=AUD" TargetMode="External"/><Relationship Id="rId60" Type="http://schemas.openxmlformats.org/officeDocument/2006/relationships/hyperlink" Target="https://www.x-rates.com/graph/?from=ILS&amp;to=AUD" TargetMode="External"/><Relationship Id="rId65" Type="http://schemas.openxmlformats.org/officeDocument/2006/relationships/hyperlink" Target="https://www.x-rates.com/graph/?from=AUD&amp;to=KRW" TargetMode="External"/><Relationship Id="rId81" Type="http://schemas.openxmlformats.org/officeDocument/2006/relationships/hyperlink" Target="https://www.x-rates.com/graph/?from=AUD&amp;to=NOK" TargetMode="External"/><Relationship Id="rId86" Type="http://schemas.openxmlformats.org/officeDocument/2006/relationships/hyperlink" Target="https://www.x-rates.com/graph/?from=PKR&amp;to=AUD" TargetMode="External"/><Relationship Id="rId4" Type="http://schemas.openxmlformats.org/officeDocument/2006/relationships/hyperlink" Target="https://www.x-rates.com/graph/?from=EUR&amp;to=AUD" TargetMode="External"/><Relationship Id="rId9" Type="http://schemas.openxmlformats.org/officeDocument/2006/relationships/hyperlink" Target="https://www.x-rates.com/graph/?from=AUD&amp;to=CAD" TargetMode="External"/><Relationship Id="rId13" Type="http://schemas.openxmlformats.org/officeDocument/2006/relationships/hyperlink" Target="https://www.x-rates.com/graph/?from=AUD&amp;to=CHF" TargetMode="External"/><Relationship Id="rId18" Type="http://schemas.openxmlformats.org/officeDocument/2006/relationships/hyperlink" Target="https://www.x-rates.com/graph/?from=JPY&amp;to=AUD" TargetMode="External"/><Relationship Id="rId39" Type="http://schemas.openxmlformats.org/officeDocument/2006/relationships/hyperlink" Target="https://www.x-rates.com/graph/?from=AUD&amp;to=COP" TargetMode="External"/><Relationship Id="rId109" Type="http://schemas.openxmlformats.org/officeDocument/2006/relationships/hyperlink" Target="https://www.x-rates.com/graph/?from=AUD&amp;to=TWD" TargetMode="External"/><Relationship Id="rId34" Type="http://schemas.openxmlformats.org/officeDocument/2006/relationships/hyperlink" Target="https://www.x-rates.com/graph/?from=CAD&amp;to=AUD" TargetMode="External"/><Relationship Id="rId50" Type="http://schemas.openxmlformats.org/officeDocument/2006/relationships/hyperlink" Target="https://www.x-rates.com/graph/?from=HUF&amp;to=AUD" TargetMode="External"/><Relationship Id="rId55" Type="http://schemas.openxmlformats.org/officeDocument/2006/relationships/hyperlink" Target="https://www.x-rates.com/graph/?from=AUD&amp;to=IDR" TargetMode="External"/><Relationship Id="rId76" Type="http://schemas.openxmlformats.org/officeDocument/2006/relationships/hyperlink" Target="https://www.x-rates.com/graph/?from=MXN&amp;to=AUD" TargetMode="External"/><Relationship Id="rId97" Type="http://schemas.openxmlformats.org/officeDocument/2006/relationships/hyperlink" Target="https://www.x-rates.com/graph/?from=AUD&amp;to=SAR" TargetMode="External"/><Relationship Id="rId104" Type="http://schemas.openxmlformats.org/officeDocument/2006/relationships/hyperlink" Target="https://www.x-rates.com/graph/?from=LKR&amp;to=AUD" TargetMode="External"/><Relationship Id="rId120" Type="http://schemas.openxmlformats.org/officeDocument/2006/relationships/hyperlink" Target="https://www.x-rates.com/graph/?from=GBP&amp;to=AUD" TargetMode="External"/><Relationship Id="rId7" Type="http://schemas.openxmlformats.org/officeDocument/2006/relationships/hyperlink" Target="https://www.x-rates.com/graph/?from=AUD&amp;to=INR" TargetMode="External"/><Relationship Id="rId71" Type="http://schemas.openxmlformats.org/officeDocument/2006/relationships/hyperlink" Target="https://www.x-rates.com/graph/?from=AUD&amp;to=MYR" TargetMode="External"/><Relationship Id="rId92" Type="http://schemas.openxmlformats.org/officeDocument/2006/relationships/hyperlink" Target="https://www.x-rates.com/graph/?from=QAR&amp;to=AUD" TargetMode="External"/><Relationship Id="rId2" Type="http://schemas.openxmlformats.org/officeDocument/2006/relationships/hyperlink" Target="https://www.x-rates.com/graph/?from=USD&amp;to=AUD" TargetMode="External"/><Relationship Id="rId29" Type="http://schemas.openxmlformats.org/officeDocument/2006/relationships/hyperlink" Target="https://www.x-rates.com/graph/?from=AUD&amp;to=BND" TargetMode="External"/><Relationship Id="rId24" Type="http://schemas.openxmlformats.org/officeDocument/2006/relationships/hyperlink" Target="https://www.x-rates.com/graph/?from=BHD&amp;to=AUD" TargetMode="External"/><Relationship Id="rId40" Type="http://schemas.openxmlformats.org/officeDocument/2006/relationships/hyperlink" Target="https://www.x-rates.com/graph/?from=COP&amp;to=AUD" TargetMode="External"/><Relationship Id="rId45" Type="http://schemas.openxmlformats.org/officeDocument/2006/relationships/hyperlink" Target="https://www.x-rates.com/graph/?from=AUD&amp;to=EUR" TargetMode="External"/><Relationship Id="rId66" Type="http://schemas.openxmlformats.org/officeDocument/2006/relationships/hyperlink" Target="https://www.x-rates.com/graph/?from=KRW&amp;to=AUD" TargetMode="External"/><Relationship Id="rId87" Type="http://schemas.openxmlformats.org/officeDocument/2006/relationships/hyperlink" Target="https://www.x-rates.com/graph/?from=AUD&amp;to=PHP" TargetMode="External"/><Relationship Id="rId110" Type="http://schemas.openxmlformats.org/officeDocument/2006/relationships/hyperlink" Target="https://www.x-rates.com/graph/?from=TWD&amp;to=AUD" TargetMode="External"/><Relationship Id="rId115" Type="http://schemas.openxmlformats.org/officeDocument/2006/relationships/hyperlink" Target="https://www.x-rates.com/graph/?from=AUD&amp;to=TRY" TargetMode="External"/><Relationship Id="rId61" Type="http://schemas.openxmlformats.org/officeDocument/2006/relationships/hyperlink" Target="https://www.x-rates.com/graph/?from=AUD&amp;to=JPY" TargetMode="External"/><Relationship Id="rId82" Type="http://schemas.openxmlformats.org/officeDocument/2006/relationships/hyperlink" Target="https://www.x-rates.com/graph/?from=NOK&amp;to=AUD" TargetMode="External"/><Relationship Id="rId19" Type="http://schemas.openxmlformats.org/officeDocument/2006/relationships/hyperlink" Target="https://www.x-rates.com/graph/?from=AUD&amp;to=CNY" TargetMode="External"/><Relationship Id="rId14" Type="http://schemas.openxmlformats.org/officeDocument/2006/relationships/hyperlink" Target="https://www.x-rates.com/graph/?from=CHF&amp;to=AUD" TargetMode="External"/><Relationship Id="rId30" Type="http://schemas.openxmlformats.org/officeDocument/2006/relationships/hyperlink" Target="https://www.x-rates.com/graph/?from=BND&amp;to=AUD" TargetMode="External"/><Relationship Id="rId35" Type="http://schemas.openxmlformats.org/officeDocument/2006/relationships/hyperlink" Target="https://www.x-rates.com/graph/?from=AUD&amp;to=CLP" TargetMode="External"/><Relationship Id="rId56" Type="http://schemas.openxmlformats.org/officeDocument/2006/relationships/hyperlink" Target="https://www.x-rates.com/graph/?from=IDR&amp;to=AUD" TargetMode="External"/><Relationship Id="rId77" Type="http://schemas.openxmlformats.org/officeDocument/2006/relationships/hyperlink" Target="https://www.x-rates.com/graph/?from=AUD&amp;to=NPR" TargetMode="External"/><Relationship Id="rId100" Type="http://schemas.openxmlformats.org/officeDocument/2006/relationships/hyperlink" Target="https://www.x-rates.com/graph/?from=SGD&amp;to=AUD" TargetMode="External"/><Relationship Id="rId105" Type="http://schemas.openxmlformats.org/officeDocument/2006/relationships/hyperlink" Target="https://www.x-rates.com/graph/?from=AUD&amp;to=SEK" TargetMode="External"/><Relationship Id="rId8" Type="http://schemas.openxmlformats.org/officeDocument/2006/relationships/hyperlink" Target="https://www.x-rates.com/graph/?from=INR&amp;to=AUD" TargetMode="External"/><Relationship Id="rId51" Type="http://schemas.openxmlformats.org/officeDocument/2006/relationships/hyperlink" Target="https://www.x-rates.com/graph/?from=AUD&amp;to=ISK" TargetMode="External"/><Relationship Id="rId72" Type="http://schemas.openxmlformats.org/officeDocument/2006/relationships/hyperlink" Target="https://www.x-rates.com/graph/?from=MYR&amp;to=AUD" TargetMode="External"/><Relationship Id="rId93" Type="http://schemas.openxmlformats.org/officeDocument/2006/relationships/hyperlink" Target="https://www.x-rates.com/graph/?from=AUD&amp;to=RON" TargetMode="External"/><Relationship Id="rId98" Type="http://schemas.openxmlformats.org/officeDocument/2006/relationships/hyperlink" Target="https://www.x-rates.com/graph/?from=SAR&amp;to=AUD" TargetMode="External"/><Relationship Id="rId121" Type="http://schemas.openxmlformats.org/officeDocument/2006/relationships/hyperlink" Target="https://www.x-rates.com/graph/?from=AUD&amp;to=USD" TargetMode="External"/><Relationship Id="rId3" Type="http://schemas.openxmlformats.org/officeDocument/2006/relationships/hyperlink" Target="https://www.x-rates.com/graph/?from=AUD&amp;to=EUR" TargetMode="External"/><Relationship Id="rId25" Type="http://schemas.openxmlformats.org/officeDocument/2006/relationships/hyperlink" Target="https://www.x-rates.com/graph/?from=AUD&amp;to=BWP" TargetMode="External"/><Relationship Id="rId46" Type="http://schemas.openxmlformats.org/officeDocument/2006/relationships/hyperlink" Target="https://www.x-rates.com/graph/?from=EUR&amp;to=AUD" TargetMode="External"/><Relationship Id="rId67" Type="http://schemas.openxmlformats.org/officeDocument/2006/relationships/hyperlink" Target="https://www.x-rates.com/graph/?from=AUD&amp;to=KWD" TargetMode="External"/><Relationship Id="rId116" Type="http://schemas.openxmlformats.org/officeDocument/2006/relationships/hyperlink" Target="https://www.x-rates.com/graph/?from=TRY&amp;to=AUD" TargetMode="External"/><Relationship Id="rId20" Type="http://schemas.openxmlformats.org/officeDocument/2006/relationships/hyperlink" Target="https://www.x-rates.com/graph/?from=CNY&amp;to=AUD" TargetMode="External"/><Relationship Id="rId41" Type="http://schemas.openxmlformats.org/officeDocument/2006/relationships/hyperlink" Target="https://www.x-rates.com/graph/?from=AUD&amp;to=CZK" TargetMode="External"/><Relationship Id="rId62" Type="http://schemas.openxmlformats.org/officeDocument/2006/relationships/hyperlink" Target="https://www.x-rates.com/graph/?from=JPY&amp;to=AUD" TargetMode="External"/><Relationship Id="rId83" Type="http://schemas.openxmlformats.org/officeDocument/2006/relationships/hyperlink" Target="https://www.x-rates.com/graph/?from=AUD&amp;to=OMR" TargetMode="External"/><Relationship Id="rId88" Type="http://schemas.openxmlformats.org/officeDocument/2006/relationships/hyperlink" Target="https://www.x-rates.com/graph/?from=PHP&amp;to=AUD" TargetMode="External"/><Relationship Id="rId111" Type="http://schemas.openxmlformats.org/officeDocument/2006/relationships/hyperlink" Target="https://www.x-rates.com/graph/?from=AUD&amp;to=THB" TargetMode="External"/><Relationship Id="rId15" Type="http://schemas.openxmlformats.org/officeDocument/2006/relationships/hyperlink" Target="https://www.x-rates.com/graph/?from=AUD&amp;to=MYR" TargetMode="External"/><Relationship Id="rId36" Type="http://schemas.openxmlformats.org/officeDocument/2006/relationships/hyperlink" Target="https://www.x-rates.com/graph/?from=CLP&amp;to=AUD" TargetMode="External"/><Relationship Id="rId57" Type="http://schemas.openxmlformats.org/officeDocument/2006/relationships/hyperlink" Target="https://www.x-rates.com/graph/?from=AUD&amp;to=IRR" TargetMode="External"/><Relationship Id="rId106" Type="http://schemas.openxmlformats.org/officeDocument/2006/relationships/hyperlink" Target="https://www.x-rates.com/graph/?from=SEK&amp;to=AUD" TargetMode="External"/><Relationship Id="rId10" Type="http://schemas.openxmlformats.org/officeDocument/2006/relationships/hyperlink" Target="https://www.x-rates.com/graph/?from=CAD&amp;to=AUD" TargetMode="External"/><Relationship Id="rId31" Type="http://schemas.openxmlformats.org/officeDocument/2006/relationships/hyperlink" Target="https://www.x-rates.com/graph/?from=AUD&amp;to=BGN" TargetMode="External"/><Relationship Id="rId52" Type="http://schemas.openxmlformats.org/officeDocument/2006/relationships/hyperlink" Target="https://www.x-rates.com/graph/?from=ISK&amp;to=AUD" TargetMode="External"/><Relationship Id="rId73" Type="http://schemas.openxmlformats.org/officeDocument/2006/relationships/hyperlink" Target="https://www.x-rates.com/graph/?from=AUD&amp;to=MUR" TargetMode="External"/><Relationship Id="rId78" Type="http://schemas.openxmlformats.org/officeDocument/2006/relationships/hyperlink" Target="https://www.x-rates.com/graph/?from=NPR&amp;to=AUD" TargetMode="External"/><Relationship Id="rId94" Type="http://schemas.openxmlformats.org/officeDocument/2006/relationships/hyperlink" Target="https://www.x-rates.com/graph/?from=RON&amp;to=AUD" TargetMode="External"/><Relationship Id="rId99" Type="http://schemas.openxmlformats.org/officeDocument/2006/relationships/hyperlink" Target="https://www.x-rates.com/graph/?from=AUD&amp;to=SGD" TargetMode="External"/><Relationship Id="rId101" Type="http://schemas.openxmlformats.org/officeDocument/2006/relationships/hyperlink" Target="https://www.x-rates.com/graph/?from=AUD&amp;to=ZAR" TargetMode="External"/><Relationship Id="rId122" Type="http://schemas.openxmlformats.org/officeDocument/2006/relationships/hyperlink" Target="https://www.x-rates.com/graph/?from=USD&amp;to=AUD"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6" Type="http://schemas.openxmlformats.org/officeDocument/2006/relationships/hyperlink" Target="https://www.x-rates.com/graph/?from=BHD&amp;to=CNY" TargetMode="External"/><Relationship Id="rId117" Type="http://schemas.openxmlformats.org/officeDocument/2006/relationships/hyperlink" Target="https://www.x-rates.com/graph/?from=CNY&amp;to=AED" TargetMode="External"/><Relationship Id="rId21" Type="http://schemas.openxmlformats.org/officeDocument/2006/relationships/hyperlink" Target="https://www.x-rates.com/graph/?from=CNY&amp;to=ARS" TargetMode="External"/><Relationship Id="rId42" Type="http://schemas.openxmlformats.org/officeDocument/2006/relationships/hyperlink" Target="https://www.x-rates.com/graph/?from=CZK&amp;to=CNY" TargetMode="External"/><Relationship Id="rId47" Type="http://schemas.openxmlformats.org/officeDocument/2006/relationships/hyperlink" Target="https://www.x-rates.com/graph/?from=CNY&amp;to=HKD" TargetMode="External"/><Relationship Id="rId63" Type="http://schemas.openxmlformats.org/officeDocument/2006/relationships/hyperlink" Target="https://www.x-rates.com/graph/?from=CNY&amp;to=KZT" TargetMode="External"/><Relationship Id="rId68" Type="http://schemas.openxmlformats.org/officeDocument/2006/relationships/hyperlink" Target="https://www.x-rates.com/graph/?from=KWD&amp;to=CNY" TargetMode="External"/><Relationship Id="rId84" Type="http://schemas.openxmlformats.org/officeDocument/2006/relationships/hyperlink" Target="https://www.x-rates.com/graph/?from=OMR&amp;to=CNY" TargetMode="External"/><Relationship Id="rId89" Type="http://schemas.openxmlformats.org/officeDocument/2006/relationships/hyperlink" Target="https://www.x-rates.com/graph/?from=CNY&amp;to=PLN" TargetMode="External"/><Relationship Id="rId112" Type="http://schemas.openxmlformats.org/officeDocument/2006/relationships/hyperlink" Target="https://www.x-rates.com/graph/?from=THB&amp;to=CNY" TargetMode="External"/><Relationship Id="rId16" Type="http://schemas.openxmlformats.org/officeDocument/2006/relationships/hyperlink" Target="https://www.x-rates.com/graph/?from=CHF&amp;to=CNY" TargetMode="External"/><Relationship Id="rId107" Type="http://schemas.openxmlformats.org/officeDocument/2006/relationships/hyperlink" Target="https://www.x-rates.com/graph/?from=CNY&amp;to=CHF" TargetMode="External"/><Relationship Id="rId11" Type="http://schemas.openxmlformats.org/officeDocument/2006/relationships/hyperlink" Target="https://www.x-rates.com/graph/?from=CNY&amp;to=CAD" TargetMode="External"/><Relationship Id="rId32" Type="http://schemas.openxmlformats.org/officeDocument/2006/relationships/hyperlink" Target="https://www.x-rates.com/graph/?from=BND&amp;to=CNY" TargetMode="External"/><Relationship Id="rId37" Type="http://schemas.openxmlformats.org/officeDocument/2006/relationships/hyperlink" Target="https://www.x-rates.com/graph/?from=CNY&amp;to=CLP" TargetMode="External"/><Relationship Id="rId53" Type="http://schemas.openxmlformats.org/officeDocument/2006/relationships/hyperlink" Target="https://www.x-rates.com/graph/?from=CNY&amp;to=INR" TargetMode="External"/><Relationship Id="rId58" Type="http://schemas.openxmlformats.org/officeDocument/2006/relationships/hyperlink" Target="https://www.x-rates.com/graph/?from=IRR&amp;to=CNY" TargetMode="External"/><Relationship Id="rId74" Type="http://schemas.openxmlformats.org/officeDocument/2006/relationships/hyperlink" Target="https://www.x-rates.com/graph/?from=MUR&amp;to=CNY" TargetMode="External"/><Relationship Id="rId79" Type="http://schemas.openxmlformats.org/officeDocument/2006/relationships/hyperlink" Target="https://www.x-rates.com/graph/?from=CNY&amp;to=NZD" TargetMode="External"/><Relationship Id="rId102" Type="http://schemas.openxmlformats.org/officeDocument/2006/relationships/hyperlink" Target="https://www.x-rates.com/graph/?from=ZAR&amp;to=CNY" TargetMode="External"/><Relationship Id="rId123" Type="http://schemas.openxmlformats.org/officeDocument/2006/relationships/printerSettings" Target="../printerSettings/printerSettings3.bin"/><Relationship Id="rId5" Type="http://schemas.openxmlformats.org/officeDocument/2006/relationships/hyperlink" Target="https://www.x-rates.com/graph/?from=CNY&amp;to=GBP" TargetMode="External"/><Relationship Id="rId90" Type="http://schemas.openxmlformats.org/officeDocument/2006/relationships/hyperlink" Target="https://www.x-rates.com/graph/?from=PLN&amp;to=CNY" TargetMode="External"/><Relationship Id="rId95" Type="http://schemas.openxmlformats.org/officeDocument/2006/relationships/hyperlink" Target="https://www.x-rates.com/graph/?from=CNY&amp;to=RUB" TargetMode="External"/><Relationship Id="rId22" Type="http://schemas.openxmlformats.org/officeDocument/2006/relationships/hyperlink" Target="https://www.x-rates.com/graph/?from=ARS&amp;to=CNY" TargetMode="External"/><Relationship Id="rId27" Type="http://schemas.openxmlformats.org/officeDocument/2006/relationships/hyperlink" Target="https://www.x-rates.com/graph/?from=CNY&amp;to=BWP" TargetMode="External"/><Relationship Id="rId43" Type="http://schemas.openxmlformats.org/officeDocument/2006/relationships/hyperlink" Target="https://www.x-rates.com/graph/?from=CNY&amp;to=DKK" TargetMode="External"/><Relationship Id="rId48" Type="http://schemas.openxmlformats.org/officeDocument/2006/relationships/hyperlink" Target="https://www.x-rates.com/graph/?from=HKD&amp;to=CNY" TargetMode="External"/><Relationship Id="rId64" Type="http://schemas.openxmlformats.org/officeDocument/2006/relationships/hyperlink" Target="https://www.x-rates.com/graph/?from=KZT&amp;to=CNY" TargetMode="External"/><Relationship Id="rId69" Type="http://schemas.openxmlformats.org/officeDocument/2006/relationships/hyperlink" Target="https://www.x-rates.com/graph/?from=CNY&amp;to=LYD" TargetMode="External"/><Relationship Id="rId113" Type="http://schemas.openxmlformats.org/officeDocument/2006/relationships/hyperlink" Target="https://www.x-rates.com/graph/?from=CNY&amp;to=TTD" TargetMode="External"/><Relationship Id="rId118" Type="http://schemas.openxmlformats.org/officeDocument/2006/relationships/hyperlink" Target="https://www.x-rates.com/graph/?from=AED&amp;to=CNY" TargetMode="External"/><Relationship Id="rId80" Type="http://schemas.openxmlformats.org/officeDocument/2006/relationships/hyperlink" Target="https://www.x-rates.com/graph/?from=NZD&amp;to=CNY" TargetMode="External"/><Relationship Id="rId85" Type="http://schemas.openxmlformats.org/officeDocument/2006/relationships/hyperlink" Target="https://www.x-rates.com/graph/?from=CNY&amp;to=PKR" TargetMode="External"/><Relationship Id="rId12" Type="http://schemas.openxmlformats.org/officeDocument/2006/relationships/hyperlink" Target="https://www.x-rates.com/graph/?from=CAD&amp;to=CNY" TargetMode="External"/><Relationship Id="rId17" Type="http://schemas.openxmlformats.org/officeDocument/2006/relationships/hyperlink" Target="https://www.x-rates.com/graph/?from=CNY&amp;to=MYR" TargetMode="External"/><Relationship Id="rId33" Type="http://schemas.openxmlformats.org/officeDocument/2006/relationships/hyperlink" Target="https://www.x-rates.com/graph/?from=CNY&amp;to=BGN" TargetMode="External"/><Relationship Id="rId38" Type="http://schemas.openxmlformats.org/officeDocument/2006/relationships/hyperlink" Target="https://www.x-rates.com/graph/?from=CLP&amp;to=CNY" TargetMode="External"/><Relationship Id="rId59" Type="http://schemas.openxmlformats.org/officeDocument/2006/relationships/hyperlink" Target="https://www.x-rates.com/graph/?from=CNY&amp;to=ILS" TargetMode="External"/><Relationship Id="rId103" Type="http://schemas.openxmlformats.org/officeDocument/2006/relationships/hyperlink" Target="https://www.x-rates.com/graph/?from=CNY&amp;to=LKR" TargetMode="External"/><Relationship Id="rId108" Type="http://schemas.openxmlformats.org/officeDocument/2006/relationships/hyperlink" Target="https://www.x-rates.com/graph/?from=CHF&amp;to=CNY" TargetMode="External"/><Relationship Id="rId124" Type="http://schemas.openxmlformats.org/officeDocument/2006/relationships/queryTable" Target="../queryTables/queryTable1.xml"/><Relationship Id="rId54" Type="http://schemas.openxmlformats.org/officeDocument/2006/relationships/hyperlink" Target="https://www.x-rates.com/graph/?from=INR&amp;to=CNY" TargetMode="External"/><Relationship Id="rId70" Type="http://schemas.openxmlformats.org/officeDocument/2006/relationships/hyperlink" Target="https://www.x-rates.com/graph/?from=LYD&amp;to=CNY" TargetMode="External"/><Relationship Id="rId75" Type="http://schemas.openxmlformats.org/officeDocument/2006/relationships/hyperlink" Target="https://www.x-rates.com/graph/?from=CNY&amp;to=MXN" TargetMode="External"/><Relationship Id="rId91" Type="http://schemas.openxmlformats.org/officeDocument/2006/relationships/hyperlink" Target="https://www.x-rates.com/graph/?from=CNY&amp;to=QAR" TargetMode="External"/><Relationship Id="rId96" Type="http://schemas.openxmlformats.org/officeDocument/2006/relationships/hyperlink" Target="https://www.x-rates.com/graph/?from=RUB&amp;to=CNY" TargetMode="External"/><Relationship Id="rId1" Type="http://schemas.openxmlformats.org/officeDocument/2006/relationships/hyperlink" Target="https://www.x-rates.com/graph/?from=CNY&amp;to=USD" TargetMode="External"/><Relationship Id="rId6" Type="http://schemas.openxmlformats.org/officeDocument/2006/relationships/hyperlink" Target="https://www.x-rates.com/graph/?from=GBP&amp;to=CNY" TargetMode="External"/><Relationship Id="rId23" Type="http://schemas.openxmlformats.org/officeDocument/2006/relationships/hyperlink" Target="https://www.x-rates.com/graph/?from=CNY&amp;to=AUD" TargetMode="External"/><Relationship Id="rId28" Type="http://schemas.openxmlformats.org/officeDocument/2006/relationships/hyperlink" Target="https://www.x-rates.com/graph/?from=BWP&amp;to=CNY" TargetMode="External"/><Relationship Id="rId49" Type="http://schemas.openxmlformats.org/officeDocument/2006/relationships/hyperlink" Target="https://www.x-rates.com/graph/?from=CNY&amp;to=HUF" TargetMode="External"/><Relationship Id="rId114" Type="http://schemas.openxmlformats.org/officeDocument/2006/relationships/hyperlink" Target="https://www.x-rates.com/graph/?from=TTD&amp;to=CNY" TargetMode="External"/><Relationship Id="rId119" Type="http://schemas.openxmlformats.org/officeDocument/2006/relationships/hyperlink" Target="https://www.x-rates.com/graph/?from=CNY&amp;to=GBP" TargetMode="External"/><Relationship Id="rId44" Type="http://schemas.openxmlformats.org/officeDocument/2006/relationships/hyperlink" Target="https://www.x-rates.com/graph/?from=DKK&amp;to=CNY" TargetMode="External"/><Relationship Id="rId60" Type="http://schemas.openxmlformats.org/officeDocument/2006/relationships/hyperlink" Target="https://www.x-rates.com/graph/?from=ILS&amp;to=CNY" TargetMode="External"/><Relationship Id="rId65" Type="http://schemas.openxmlformats.org/officeDocument/2006/relationships/hyperlink" Target="https://www.x-rates.com/graph/?from=CNY&amp;to=KRW" TargetMode="External"/><Relationship Id="rId81" Type="http://schemas.openxmlformats.org/officeDocument/2006/relationships/hyperlink" Target="https://www.x-rates.com/graph/?from=CNY&amp;to=NOK" TargetMode="External"/><Relationship Id="rId86" Type="http://schemas.openxmlformats.org/officeDocument/2006/relationships/hyperlink" Target="https://www.x-rates.com/graph/?from=PKR&amp;to=CNY" TargetMode="External"/><Relationship Id="rId4" Type="http://schemas.openxmlformats.org/officeDocument/2006/relationships/hyperlink" Target="https://www.x-rates.com/graph/?from=EUR&amp;to=CNY" TargetMode="External"/><Relationship Id="rId9" Type="http://schemas.openxmlformats.org/officeDocument/2006/relationships/hyperlink" Target="https://www.x-rates.com/graph/?from=CNY&amp;to=AUD" TargetMode="External"/><Relationship Id="rId13" Type="http://schemas.openxmlformats.org/officeDocument/2006/relationships/hyperlink" Target="https://www.x-rates.com/graph/?from=CNY&amp;to=SGD" TargetMode="External"/><Relationship Id="rId18" Type="http://schemas.openxmlformats.org/officeDocument/2006/relationships/hyperlink" Target="https://www.x-rates.com/graph/?from=MYR&amp;to=CNY" TargetMode="External"/><Relationship Id="rId39" Type="http://schemas.openxmlformats.org/officeDocument/2006/relationships/hyperlink" Target="https://www.x-rates.com/graph/?from=CNY&amp;to=COP" TargetMode="External"/><Relationship Id="rId109" Type="http://schemas.openxmlformats.org/officeDocument/2006/relationships/hyperlink" Target="https://www.x-rates.com/graph/?from=CNY&amp;to=TWD" TargetMode="External"/><Relationship Id="rId34" Type="http://schemas.openxmlformats.org/officeDocument/2006/relationships/hyperlink" Target="https://www.x-rates.com/graph/?from=BGN&amp;to=CNY" TargetMode="External"/><Relationship Id="rId50" Type="http://schemas.openxmlformats.org/officeDocument/2006/relationships/hyperlink" Target="https://www.x-rates.com/graph/?from=HUF&amp;to=CNY" TargetMode="External"/><Relationship Id="rId55" Type="http://schemas.openxmlformats.org/officeDocument/2006/relationships/hyperlink" Target="https://www.x-rates.com/graph/?from=CNY&amp;to=IDR" TargetMode="External"/><Relationship Id="rId76" Type="http://schemas.openxmlformats.org/officeDocument/2006/relationships/hyperlink" Target="https://www.x-rates.com/graph/?from=MXN&amp;to=CNY" TargetMode="External"/><Relationship Id="rId97" Type="http://schemas.openxmlformats.org/officeDocument/2006/relationships/hyperlink" Target="https://www.x-rates.com/graph/?from=CNY&amp;to=SAR" TargetMode="External"/><Relationship Id="rId104" Type="http://schemas.openxmlformats.org/officeDocument/2006/relationships/hyperlink" Target="https://www.x-rates.com/graph/?from=LKR&amp;to=CNY" TargetMode="External"/><Relationship Id="rId120" Type="http://schemas.openxmlformats.org/officeDocument/2006/relationships/hyperlink" Target="https://www.x-rates.com/graph/?from=GBP&amp;to=CNY" TargetMode="External"/><Relationship Id="rId7" Type="http://schemas.openxmlformats.org/officeDocument/2006/relationships/hyperlink" Target="https://www.x-rates.com/graph/?from=CNY&amp;to=INR" TargetMode="External"/><Relationship Id="rId71" Type="http://schemas.openxmlformats.org/officeDocument/2006/relationships/hyperlink" Target="https://www.x-rates.com/graph/?from=CNY&amp;to=MYR" TargetMode="External"/><Relationship Id="rId92" Type="http://schemas.openxmlformats.org/officeDocument/2006/relationships/hyperlink" Target="https://www.x-rates.com/graph/?from=QAR&amp;to=CNY" TargetMode="External"/><Relationship Id="rId2" Type="http://schemas.openxmlformats.org/officeDocument/2006/relationships/hyperlink" Target="https://www.x-rates.com/graph/?from=USD&amp;to=CNY" TargetMode="External"/><Relationship Id="rId29" Type="http://schemas.openxmlformats.org/officeDocument/2006/relationships/hyperlink" Target="https://www.x-rates.com/graph/?from=CNY&amp;to=BRL" TargetMode="External"/><Relationship Id="rId24" Type="http://schemas.openxmlformats.org/officeDocument/2006/relationships/hyperlink" Target="https://www.x-rates.com/graph/?from=AUD&amp;to=CNY" TargetMode="External"/><Relationship Id="rId40" Type="http://schemas.openxmlformats.org/officeDocument/2006/relationships/hyperlink" Target="https://www.x-rates.com/graph/?from=COP&amp;to=CNY" TargetMode="External"/><Relationship Id="rId45" Type="http://schemas.openxmlformats.org/officeDocument/2006/relationships/hyperlink" Target="https://www.x-rates.com/graph/?from=CNY&amp;to=EUR" TargetMode="External"/><Relationship Id="rId66" Type="http://schemas.openxmlformats.org/officeDocument/2006/relationships/hyperlink" Target="https://www.x-rates.com/graph/?from=KRW&amp;to=CNY" TargetMode="External"/><Relationship Id="rId87" Type="http://schemas.openxmlformats.org/officeDocument/2006/relationships/hyperlink" Target="https://www.x-rates.com/graph/?from=CNY&amp;to=PHP" TargetMode="External"/><Relationship Id="rId110" Type="http://schemas.openxmlformats.org/officeDocument/2006/relationships/hyperlink" Target="https://www.x-rates.com/graph/?from=TWD&amp;to=CNY" TargetMode="External"/><Relationship Id="rId115" Type="http://schemas.openxmlformats.org/officeDocument/2006/relationships/hyperlink" Target="https://www.x-rates.com/graph/?from=CNY&amp;to=TRY" TargetMode="External"/><Relationship Id="rId61" Type="http://schemas.openxmlformats.org/officeDocument/2006/relationships/hyperlink" Target="https://www.x-rates.com/graph/?from=CNY&amp;to=JPY" TargetMode="External"/><Relationship Id="rId82" Type="http://schemas.openxmlformats.org/officeDocument/2006/relationships/hyperlink" Target="https://www.x-rates.com/graph/?from=NOK&amp;to=CNY" TargetMode="External"/><Relationship Id="rId19" Type="http://schemas.openxmlformats.org/officeDocument/2006/relationships/hyperlink" Target="https://www.x-rates.com/graph/?from=CNY&amp;to=JPY" TargetMode="External"/><Relationship Id="rId14" Type="http://schemas.openxmlformats.org/officeDocument/2006/relationships/hyperlink" Target="https://www.x-rates.com/graph/?from=SGD&amp;to=CNY" TargetMode="External"/><Relationship Id="rId30" Type="http://schemas.openxmlformats.org/officeDocument/2006/relationships/hyperlink" Target="https://www.x-rates.com/graph/?from=BRL&amp;to=CNY" TargetMode="External"/><Relationship Id="rId35" Type="http://schemas.openxmlformats.org/officeDocument/2006/relationships/hyperlink" Target="https://www.x-rates.com/graph/?from=CNY&amp;to=CAD" TargetMode="External"/><Relationship Id="rId56" Type="http://schemas.openxmlformats.org/officeDocument/2006/relationships/hyperlink" Target="https://www.x-rates.com/graph/?from=IDR&amp;to=CNY" TargetMode="External"/><Relationship Id="rId77" Type="http://schemas.openxmlformats.org/officeDocument/2006/relationships/hyperlink" Target="https://www.x-rates.com/graph/?from=CNY&amp;to=NPR" TargetMode="External"/><Relationship Id="rId100" Type="http://schemas.openxmlformats.org/officeDocument/2006/relationships/hyperlink" Target="https://www.x-rates.com/graph/?from=SGD&amp;to=CNY" TargetMode="External"/><Relationship Id="rId105" Type="http://schemas.openxmlformats.org/officeDocument/2006/relationships/hyperlink" Target="https://www.x-rates.com/graph/?from=CNY&amp;to=SEK" TargetMode="External"/><Relationship Id="rId8" Type="http://schemas.openxmlformats.org/officeDocument/2006/relationships/hyperlink" Target="https://www.x-rates.com/graph/?from=INR&amp;to=CNY" TargetMode="External"/><Relationship Id="rId51" Type="http://schemas.openxmlformats.org/officeDocument/2006/relationships/hyperlink" Target="https://www.x-rates.com/graph/?from=CNY&amp;to=ISK" TargetMode="External"/><Relationship Id="rId72" Type="http://schemas.openxmlformats.org/officeDocument/2006/relationships/hyperlink" Target="https://www.x-rates.com/graph/?from=MYR&amp;to=CNY" TargetMode="External"/><Relationship Id="rId93" Type="http://schemas.openxmlformats.org/officeDocument/2006/relationships/hyperlink" Target="https://www.x-rates.com/graph/?from=CNY&amp;to=RON" TargetMode="External"/><Relationship Id="rId98" Type="http://schemas.openxmlformats.org/officeDocument/2006/relationships/hyperlink" Target="https://www.x-rates.com/graph/?from=SAR&amp;to=CNY" TargetMode="External"/><Relationship Id="rId121" Type="http://schemas.openxmlformats.org/officeDocument/2006/relationships/hyperlink" Target="https://www.x-rates.com/graph/?from=CNY&amp;to=USD" TargetMode="External"/><Relationship Id="rId3" Type="http://schemas.openxmlformats.org/officeDocument/2006/relationships/hyperlink" Target="https://www.x-rates.com/graph/?from=CNY&amp;to=EUR" TargetMode="External"/><Relationship Id="rId25" Type="http://schemas.openxmlformats.org/officeDocument/2006/relationships/hyperlink" Target="https://www.x-rates.com/graph/?from=CNY&amp;to=BHD" TargetMode="External"/><Relationship Id="rId46" Type="http://schemas.openxmlformats.org/officeDocument/2006/relationships/hyperlink" Target="https://www.x-rates.com/graph/?from=EUR&amp;to=CNY" TargetMode="External"/><Relationship Id="rId67" Type="http://schemas.openxmlformats.org/officeDocument/2006/relationships/hyperlink" Target="https://www.x-rates.com/graph/?from=CNY&amp;to=KWD" TargetMode="External"/><Relationship Id="rId116" Type="http://schemas.openxmlformats.org/officeDocument/2006/relationships/hyperlink" Target="https://www.x-rates.com/graph/?from=TRY&amp;to=CNY" TargetMode="External"/><Relationship Id="rId20" Type="http://schemas.openxmlformats.org/officeDocument/2006/relationships/hyperlink" Target="https://www.x-rates.com/graph/?from=JPY&amp;to=CNY" TargetMode="External"/><Relationship Id="rId41" Type="http://schemas.openxmlformats.org/officeDocument/2006/relationships/hyperlink" Target="https://www.x-rates.com/graph/?from=CNY&amp;to=CZK" TargetMode="External"/><Relationship Id="rId62" Type="http://schemas.openxmlformats.org/officeDocument/2006/relationships/hyperlink" Target="https://www.x-rates.com/graph/?from=JPY&amp;to=CNY" TargetMode="External"/><Relationship Id="rId83" Type="http://schemas.openxmlformats.org/officeDocument/2006/relationships/hyperlink" Target="https://www.x-rates.com/graph/?from=CNY&amp;to=OMR" TargetMode="External"/><Relationship Id="rId88" Type="http://schemas.openxmlformats.org/officeDocument/2006/relationships/hyperlink" Target="https://www.x-rates.com/graph/?from=PHP&amp;to=CNY" TargetMode="External"/><Relationship Id="rId111" Type="http://schemas.openxmlformats.org/officeDocument/2006/relationships/hyperlink" Target="https://www.x-rates.com/graph/?from=CNY&amp;to=THB" TargetMode="External"/><Relationship Id="rId15" Type="http://schemas.openxmlformats.org/officeDocument/2006/relationships/hyperlink" Target="https://www.x-rates.com/graph/?from=CNY&amp;to=CHF" TargetMode="External"/><Relationship Id="rId36" Type="http://schemas.openxmlformats.org/officeDocument/2006/relationships/hyperlink" Target="https://www.x-rates.com/graph/?from=CAD&amp;to=CNY" TargetMode="External"/><Relationship Id="rId57" Type="http://schemas.openxmlformats.org/officeDocument/2006/relationships/hyperlink" Target="https://www.x-rates.com/graph/?from=CNY&amp;to=IRR" TargetMode="External"/><Relationship Id="rId106" Type="http://schemas.openxmlformats.org/officeDocument/2006/relationships/hyperlink" Target="https://www.x-rates.com/graph/?from=SEK&amp;to=CNY" TargetMode="External"/><Relationship Id="rId10" Type="http://schemas.openxmlformats.org/officeDocument/2006/relationships/hyperlink" Target="https://www.x-rates.com/graph/?from=AUD&amp;to=CNY" TargetMode="External"/><Relationship Id="rId31" Type="http://schemas.openxmlformats.org/officeDocument/2006/relationships/hyperlink" Target="https://www.x-rates.com/graph/?from=CNY&amp;to=BND" TargetMode="External"/><Relationship Id="rId52" Type="http://schemas.openxmlformats.org/officeDocument/2006/relationships/hyperlink" Target="https://www.x-rates.com/graph/?from=ISK&amp;to=CNY" TargetMode="External"/><Relationship Id="rId73" Type="http://schemas.openxmlformats.org/officeDocument/2006/relationships/hyperlink" Target="https://www.x-rates.com/graph/?from=CNY&amp;to=MUR" TargetMode="External"/><Relationship Id="rId78" Type="http://schemas.openxmlformats.org/officeDocument/2006/relationships/hyperlink" Target="https://www.x-rates.com/graph/?from=NPR&amp;to=CNY" TargetMode="External"/><Relationship Id="rId94" Type="http://schemas.openxmlformats.org/officeDocument/2006/relationships/hyperlink" Target="https://www.x-rates.com/graph/?from=RON&amp;to=CNY" TargetMode="External"/><Relationship Id="rId99" Type="http://schemas.openxmlformats.org/officeDocument/2006/relationships/hyperlink" Target="https://www.x-rates.com/graph/?from=CNY&amp;to=SGD" TargetMode="External"/><Relationship Id="rId101" Type="http://schemas.openxmlformats.org/officeDocument/2006/relationships/hyperlink" Target="https://www.x-rates.com/graph/?from=CNY&amp;to=ZAR" TargetMode="External"/><Relationship Id="rId122" Type="http://schemas.openxmlformats.org/officeDocument/2006/relationships/hyperlink" Target="https://www.x-rates.com/graph/?from=USD&amp;to=CNY"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59C39-A380-5D44-B0D2-AB511BAB1FCA}">
  <sheetPr codeName="Sheet1">
    <tabColor theme="9"/>
    <pageSetUpPr fitToPage="1"/>
  </sheetPr>
  <dimension ref="A1:Q37"/>
  <sheetViews>
    <sheetView zoomScale="80" zoomScaleNormal="80" workbookViewId="0">
      <selection activeCell="Q11" sqref="Q11:Q15"/>
    </sheetView>
  </sheetViews>
  <sheetFormatPr defaultColWidth="10.83203125" defaultRowHeight="20"/>
  <cols>
    <col min="1" max="1" width="4.5" style="3" customWidth="1"/>
    <col min="2" max="2" width="17.83203125" style="3" customWidth="1"/>
    <col min="3" max="3" width="22.58203125" style="3" customWidth="1"/>
    <col min="4" max="4" width="22.08203125" style="3" customWidth="1"/>
    <col min="5" max="5" width="17.33203125" style="3" customWidth="1"/>
    <col min="6" max="6" width="15.08203125" style="3" customWidth="1"/>
    <col min="7" max="7" width="15.58203125" style="3" customWidth="1"/>
    <col min="8" max="8" width="20.5" style="3" customWidth="1"/>
    <col min="9" max="9" width="10.83203125" style="3"/>
    <col min="10" max="10" width="15" style="3" customWidth="1"/>
    <col min="11" max="11" width="11.5" style="3" customWidth="1"/>
    <col min="12" max="12" width="15.33203125" style="3" customWidth="1"/>
    <col min="13" max="13" width="13.83203125" style="3" customWidth="1"/>
    <col min="14" max="17" width="16.33203125" style="3" customWidth="1"/>
    <col min="18" max="16384" width="10.83203125" style="3"/>
  </cols>
  <sheetData>
    <row r="1" spans="1:17">
      <c r="A1" s="850" t="s">
        <v>235</v>
      </c>
      <c r="B1" s="850"/>
      <c r="E1" s="3" t="s">
        <v>489</v>
      </c>
      <c r="G1" s="3" t="s">
        <v>490</v>
      </c>
    </row>
    <row r="2" spans="1:17" ht="28" customHeight="1">
      <c r="A2" s="851" t="s">
        <v>205</v>
      </c>
      <c r="B2" s="851"/>
      <c r="C2" s="851"/>
    </row>
    <row r="3" spans="1:17" ht="28" customHeight="1">
      <c r="A3" s="852" t="s">
        <v>206</v>
      </c>
      <c r="B3" s="852"/>
      <c r="C3" s="852"/>
    </row>
    <row r="4" spans="1:17" ht="28" customHeight="1">
      <c r="A4" s="852" t="s">
        <v>210</v>
      </c>
      <c r="B4" s="852"/>
      <c r="C4" s="852"/>
    </row>
    <row r="5" spans="1:17" ht="28" customHeight="1">
      <c r="A5" s="852" t="s">
        <v>211</v>
      </c>
      <c r="B5" s="852"/>
      <c r="C5" s="852"/>
    </row>
    <row r="6" spans="1:17" ht="28" customHeight="1">
      <c r="A6" s="852" t="s">
        <v>576</v>
      </c>
      <c r="B6" s="852"/>
      <c r="C6" s="852"/>
    </row>
    <row r="7" spans="1:17" ht="28" customHeight="1">
      <c r="A7" s="852" t="s">
        <v>212</v>
      </c>
      <c r="B7" s="852"/>
      <c r="C7" s="852"/>
    </row>
    <row r="8" spans="1:17" ht="28" customHeight="1" thickBot="1">
      <c r="A8" s="106"/>
      <c r="B8" s="106"/>
      <c r="C8" s="106"/>
    </row>
    <row r="9" spans="1:17" ht="48" customHeight="1" thickBot="1">
      <c r="B9" s="93" t="s">
        <v>150</v>
      </c>
      <c r="C9" s="94"/>
      <c r="D9" s="94"/>
      <c r="E9" s="94"/>
      <c r="F9" s="94"/>
      <c r="G9" s="94"/>
      <c r="H9" s="94"/>
      <c r="I9" s="94"/>
      <c r="J9" s="94"/>
      <c r="K9" s="94"/>
      <c r="L9" s="94"/>
      <c r="M9" s="94"/>
      <c r="N9" s="94"/>
      <c r="O9" s="145" t="s">
        <v>496</v>
      </c>
      <c r="P9" s="146"/>
      <c r="Q9" s="147"/>
    </row>
    <row r="10" spans="1:17" ht="72" customHeight="1">
      <c r="B10" s="382" t="s">
        <v>586</v>
      </c>
      <c r="C10" s="383" t="s">
        <v>71</v>
      </c>
      <c r="D10" s="383" t="s">
        <v>587</v>
      </c>
      <c r="E10" s="383" t="s">
        <v>40</v>
      </c>
      <c r="F10" s="383" t="s">
        <v>224</v>
      </c>
      <c r="G10" s="383" t="s">
        <v>41</v>
      </c>
      <c r="H10" s="383" t="s">
        <v>471</v>
      </c>
      <c r="I10" s="383" t="s">
        <v>42</v>
      </c>
      <c r="J10" s="384" t="s">
        <v>595</v>
      </c>
      <c r="K10" s="384" t="s">
        <v>468</v>
      </c>
      <c r="L10" s="385" t="s">
        <v>219</v>
      </c>
      <c r="M10" s="386" t="s">
        <v>472</v>
      </c>
      <c r="N10" s="387" t="s">
        <v>473</v>
      </c>
      <c r="O10" s="381" t="s">
        <v>589</v>
      </c>
      <c r="P10" s="95" t="s">
        <v>593</v>
      </c>
      <c r="Q10" s="148" t="s">
        <v>594</v>
      </c>
    </row>
    <row r="11" spans="1:17">
      <c r="B11" s="29"/>
      <c r="C11" s="27"/>
      <c r="D11" s="390" t="s">
        <v>588</v>
      </c>
      <c r="E11" s="39"/>
      <c r="F11" s="27"/>
      <c r="G11" s="27"/>
      <c r="H11" s="108"/>
      <c r="I11" s="27"/>
      <c r="J11" s="355"/>
      <c r="K11" s="27"/>
      <c r="L11" s="91"/>
      <c r="M11" s="97"/>
      <c r="N11" s="388">
        <f>L11/(1-M11)</f>
        <v>0</v>
      </c>
      <c r="O11" s="847">
        <f>'Net Revenue'!F30</f>
        <v>-700</v>
      </c>
      <c r="P11" s="844">
        <f>'Net Revenue'!G30</f>
        <v>-700</v>
      </c>
      <c r="Q11" s="841">
        <f>'Net Revenue'!H30</f>
        <v>-700</v>
      </c>
    </row>
    <row r="12" spans="1:17">
      <c r="B12" s="29"/>
      <c r="C12" s="27"/>
      <c r="D12" s="27"/>
      <c r="E12" s="39"/>
      <c r="F12" s="27"/>
      <c r="G12" s="27"/>
      <c r="H12" s="108"/>
      <c r="I12" s="27"/>
      <c r="J12" s="355"/>
      <c r="K12" s="27"/>
      <c r="L12" s="91"/>
      <c r="M12" s="97"/>
      <c r="N12" s="388">
        <f t="shared" ref="N12:N15" si="0">L12/(1-M12)</f>
        <v>0</v>
      </c>
      <c r="O12" s="848"/>
      <c r="P12" s="845"/>
      <c r="Q12" s="842"/>
    </row>
    <row r="13" spans="1:17">
      <c r="B13" s="29"/>
      <c r="C13" s="27"/>
      <c r="D13" s="27"/>
      <c r="E13" s="39"/>
      <c r="F13" s="27"/>
      <c r="G13" s="27"/>
      <c r="H13" s="108"/>
      <c r="I13" s="27"/>
      <c r="J13" s="355"/>
      <c r="K13" s="27"/>
      <c r="L13" s="91"/>
      <c r="M13" s="97"/>
      <c r="N13" s="388">
        <f t="shared" si="0"/>
        <v>0</v>
      </c>
      <c r="O13" s="848"/>
      <c r="P13" s="845"/>
      <c r="Q13" s="842"/>
    </row>
    <row r="14" spans="1:17">
      <c r="B14" s="29"/>
      <c r="C14" s="27"/>
      <c r="D14" s="27"/>
      <c r="E14" s="39"/>
      <c r="F14" s="27"/>
      <c r="G14" s="27"/>
      <c r="H14" s="108"/>
      <c r="I14" s="27"/>
      <c r="J14" s="355"/>
      <c r="K14" s="27"/>
      <c r="L14" s="91"/>
      <c r="M14" s="96"/>
      <c r="N14" s="388">
        <f t="shared" si="0"/>
        <v>0</v>
      </c>
      <c r="O14" s="848"/>
      <c r="P14" s="845"/>
      <c r="Q14" s="842"/>
    </row>
    <row r="15" spans="1:17" ht="20.5" thickBot="1">
      <c r="B15" s="30"/>
      <c r="C15" s="31"/>
      <c r="D15" s="31"/>
      <c r="E15" s="40"/>
      <c r="F15" s="31"/>
      <c r="G15" s="31"/>
      <c r="H15" s="109"/>
      <c r="I15" s="31"/>
      <c r="J15" s="356"/>
      <c r="K15" s="31"/>
      <c r="L15" s="92"/>
      <c r="M15" s="98"/>
      <c r="N15" s="389">
        <f t="shared" si="0"/>
        <v>0</v>
      </c>
      <c r="O15" s="849"/>
      <c r="P15" s="846"/>
      <c r="Q15" s="843"/>
    </row>
    <row r="16" spans="1:17" ht="24" customHeight="1">
      <c r="C16" s="44"/>
      <c r="E16" s="45"/>
    </row>
    <row r="17" spans="1:17">
      <c r="A17" s="840" t="s">
        <v>217</v>
      </c>
      <c r="B17" s="840"/>
      <c r="C17" s="840"/>
      <c r="D17" s="3" t="s">
        <v>225</v>
      </c>
    </row>
    <row r="18" spans="1:17" ht="20.5" thickBot="1">
      <c r="A18" s="137"/>
      <c r="B18" s="137"/>
      <c r="C18" s="137"/>
    </row>
    <row r="19" spans="1:17" ht="48" customHeight="1" thickBot="1">
      <c r="A19" s="137"/>
      <c r="B19" s="88" t="s">
        <v>218</v>
      </c>
      <c r="C19" s="88"/>
      <c r="D19" s="139"/>
      <c r="E19" s="139"/>
      <c r="F19" s="89"/>
      <c r="G19" s="89"/>
      <c r="H19" s="90"/>
    </row>
    <row r="20" spans="1:17" ht="40">
      <c r="A20" s="137"/>
      <c r="B20" s="335" t="s">
        <v>469</v>
      </c>
      <c r="C20" s="138" t="s">
        <v>470</v>
      </c>
      <c r="D20" s="336" t="s">
        <v>39</v>
      </c>
      <c r="E20" s="138" t="s">
        <v>474</v>
      </c>
      <c r="F20" s="138" t="s">
        <v>43</v>
      </c>
      <c r="G20" s="138" t="s">
        <v>216</v>
      </c>
      <c r="H20" s="316" t="s">
        <v>83</v>
      </c>
      <c r="J20" s="41" t="s">
        <v>226</v>
      </c>
      <c r="K20" s="41"/>
      <c r="L20" s="41"/>
      <c r="M20" s="41" t="s">
        <v>497</v>
      </c>
      <c r="N20" s="41"/>
      <c r="O20" s="41" t="s">
        <v>498</v>
      </c>
    </row>
    <row r="21" spans="1:17">
      <c r="A21" s="137"/>
      <c r="B21" s="333">
        <f>B11</f>
        <v>0</v>
      </c>
      <c r="C21" s="341">
        <f t="shared" ref="C21:D21" si="1">C11</f>
        <v>0</v>
      </c>
      <c r="D21" s="337" t="str">
        <f t="shared" si="1"/>
        <v>Lead varietal first</v>
      </c>
      <c r="E21" s="338" t="s">
        <v>46</v>
      </c>
      <c r="F21" s="113">
        <f>IF(E21="Select Market",0,N11+K11/12*(SUM('Shipment Cost Schedule'!$H$5:$H$17)+SUM('Shipment Cost Schedule'!$H$20:$H$22)+(IF(Home!E21="China",SUM('Shipment Cost Schedule'!$H$26:$H$31),0))+(IF(OR(E21="UK",E21="Belgium",E21="Denmark",E21="Germany",E21="Netherlands",E21="Poland",E21="Sweden"),'Shipment Cost Schedule'!$H$33,0))+(IF(Home!E21="Japan",SUM('Shipment Cost Schedule'!$H$35:$H$36),0))+(IF(E21="Brazil",'Shipment Cost Schedule'!$H$38,0))))</f>
        <v>0</v>
      </c>
      <c r="G21" s="332"/>
      <c r="H21" s="143">
        <f>IF(E21="China",1.33*'Competitor Set Evaluation'!N5*'HKD XR data'!$D$32,'Competitor Set Evaluation'!N5)</f>
        <v>0</v>
      </c>
      <c r="J21" s="839" t="s">
        <v>345</v>
      </c>
      <c r="K21" s="839"/>
      <c r="L21" s="137"/>
      <c r="M21" s="836" t="s">
        <v>227</v>
      </c>
      <c r="N21" s="836"/>
      <c r="O21" s="836" t="s">
        <v>232</v>
      </c>
      <c r="P21" s="836"/>
    </row>
    <row r="22" spans="1:17">
      <c r="A22" s="137"/>
      <c r="B22" s="333">
        <f t="shared" ref="B22:D22" si="2">B12</f>
        <v>0</v>
      </c>
      <c r="C22" s="341">
        <f t="shared" si="2"/>
        <v>0</v>
      </c>
      <c r="D22" s="337">
        <f t="shared" si="2"/>
        <v>0</v>
      </c>
      <c r="E22" s="338" t="s">
        <v>46</v>
      </c>
      <c r="F22" s="113">
        <f>IF(E22="Select Market",0,N12+K12/12*(SUM('Shipment Cost Schedule'!$H$5:$H$17)+SUM('Shipment Cost Schedule'!$H$20:$H$22)+(IF(Home!E22="China",SUM('Shipment Cost Schedule'!$H$26:$H$31),0))+(IF(OR(E22="UK",E22="Belgium",E22="Denmark",E22="Germany",E22="Netherlands",E22="Poland",E22="Sweden"),'Shipment Cost Schedule'!$H$33,0))+(IF(Home!E22="Japan",SUM('Shipment Cost Schedule'!$H$35:$H$36),0))+(IF(E22="Brazil",'Shipment Cost Schedule'!$H$38,0))))</f>
        <v>0</v>
      </c>
      <c r="G22" s="332"/>
      <c r="H22" s="143">
        <f>IF(E22="China",1.33*'Competitor Set Evaluation'!N6*'HKD XR data'!$D$32,'Competitor Set Evaluation'!N6)</f>
        <v>0</v>
      </c>
      <c r="J22" s="836" t="s">
        <v>343</v>
      </c>
      <c r="K22" s="836"/>
      <c r="L22" s="137"/>
      <c r="M22" s="137" t="s">
        <v>228</v>
      </c>
      <c r="O22" s="836" t="s">
        <v>233</v>
      </c>
      <c r="P22" s="836"/>
      <c r="Q22" s="137"/>
    </row>
    <row r="23" spans="1:17">
      <c r="A23" s="137"/>
      <c r="B23" s="333">
        <f t="shared" ref="B23:D23" si="3">B13</f>
        <v>0</v>
      </c>
      <c r="C23" s="342">
        <f t="shared" si="3"/>
        <v>0</v>
      </c>
      <c r="D23" s="337">
        <f t="shared" si="3"/>
        <v>0</v>
      </c>
      <c r="E23" s="338" t="s">
        <v>46</v>
      </c>
      <c r="F23" s="113">
        <f>IF(E23="Select Market",0,N13+K13/12*(SUM('Shipment Cost Schedule'!$H$5:$H$17)+SUM('Shipment Cost Schedule'!$H$20:$H$22)+(IF(Home!E23="China",SUM('Shipment Cost Schedule'!$H$26:$H$31),0))+(IF(OR(E23="UK",E23="Belgium",E23="Denmark",E23="Germany",E23="Netherlands",E23="Poland",E23="Sweden"),'Shipment Cost Schedule'!$H$33,0))+(IF(Home!E23="Japan",SUM('Shipment Cost Schedule'!$H$35:$H$36),0))+(IF(E23="Brazil",'Shipment Cost Schedule'!$H$38,0))))</f>
        <v>0</v>
      </c>
      <c r="G23" s="332"/>
      <c r="H23" s="143">
        <f>IF(E23="China",1.33*'Competitor Set Evaluation'!N7*'HKD XR data'!$D$32,'Competitor Set Evaluation'!N7)</f>
        <v>0</v>
      </c>
      <c r="J23" s="836" t="s">
        <v>346</v>
      </c>
      <c r="K23" s="836"/>
      <c r="L23" s="137"/>
      <c r="M23" s="137" t="s">
        <v>229</v>
      </c>
      <c r="O23" s="137" t="s">
        <v>437</v>
      </c>
    </row>
    <row r="24" spans="1:17">
      <c r="A24" s="137"/>
      <c r="B24" s="333">
        <f t="shared" ref="B24:D24" si="4">B14</f>
        <v>0</v>
      </c>
      <c r="C24" s="342">
        <f t="shared" si="4"/>
        <v>0</v>
      </c>
      <c r="D24" s="337">
        <f t="shared" si="4"/>
        <v>0</v>
      </c>
      <c r="E24" s="338" t="s">
        <v>46</v>
      </c>
      <c r="F24" s="113">
        <f>IF(E24="Select Market",0,N14+K14/12*(SUM('Shipment Cost Schedule'!$H$5:$H$17)+SUM('Shipment Cost Schedule'!$H$20:$H$22)+(IF(Home!E24="China",SUM('Shipment Cost Schedule'!$H$26:$H$31),0))+(IF(OR(E24="UK",E24="Belgium",E24="Denmark",E24="Germany",E24="Netherlands",E24="Poland",E24="Sweden"),'Shipment Cost Schedule'!$H$33,0))+(IF(Home!E24="Japan",SUM('Shipment Cost Schedule'!$H$35:$H$36),0))+(IF(E24="Brazil",'Shipment Cost Schedule'!$H$38,0))))</f>
        <v>0</v>
      </c>
      <c r="G24" s="332"/>
      <c r="H24" s="143">
        <f>IF(E24="China",1.33*'Competitor Set Evaluation'!N8*'HKD XR data'!$D$32,'Competitor Set Evaluation'!N8)</f>
        <v>0</v>
      </c>
      <c r="J24" s="836" t="s">
        <v>347</v>
      </c>
      <c r="K24" s="836"/>
      <c r="L24" s="137"/>
      <c r="M24" s="137" t="s">
        <v>230</v>
      </c>
      <c r="O24" s="137" t="s">
        <v>438</v>
      </c>
    </row>
    <row r="25" spans="1:17" ht="20.5" thickBot="1">
      <c r="A25" s="137"/>
      <c r="B25" s="334">
        <f t="shared" ref="B25:D25" si="5">B15</f>
        <v>0</v>
      </c>
      <c r="C25" s="343">
        <f t="shared" si="5"/>
        <v>0</v>
      </c>
      <c r="D25" s="339">
        <f t="shared" si="5"/>
        <v>0</v>
      </c>
      <c r="E25" s="340" t="s">
        <v>46</v>
      </c>
      <c r="F25" s="315">
        <f>IF(E25="Select Market",0,N15+K15/12*(SUM('Shipment Cost Schedule'!$H$5:$H$17)+SUM('Shipment Cost Schedule'!$H$20:$H$22)+(IF(Home!E25="China",SUM('Shipment Cost Schedule'!$H$26:$H$31),0))+(IF(OR(E25="UK",E25="Belgium",E25="Denmark",E25="Germany",E25="Netherlands",E25="Poland",E25="Sweden"),'Shipment Cost Schedule'!$H$33,0))+(IF(Home!E25="Japan",SUM('Shipment Cost Schedule'!$H$35:$H$36),0))+(IF(E25="Brazil",'Shipment Cost Schedule'!$H$38,0))))</f>
        <v>0</v>
      </c>
      <c r="G25" s="332"/>
      <c r="H25" s="143">
        <f>IF(E25="China",1.33*'Competitor Set Evaluation'!N9*'HKD XR data'!$D$32,'Competitor Set Evaluation'!N9)</f>
        <v>0</v>
      </c>
      <c r="J25" s="836" t="s">
        <v>348</v>
      </c>
      <c r="K25" s="836"/>
      <c r="L25" s="137"/>
      <c r="M25" s="836" t="s">
        <v>231</v>
      </c>
      <c r="N25" s="836"/>
      <c r="O25" s="137" t="s">
        <v>475</v>
      </c>
    </row>
    <row r="26" spans="1:17" ht="23.15" customHeight="1">
      <c r="G26" s="837" t="s">
        <v>466</v>
      </c>
      <c r="H26" s="837" t="s">
        <v>467</v>
      </c>
      <c r="J26" s="836" t="s">
        <v>349</v>
      </c>
      <c r="K26" s="836"/>
      <c r="L26" s="836"/>
      <c r="M26" s="836" t="s">
        <v>600</v>
      </c>
      <c r="N26" s="836"/>
      <c r="O26" s="137" t="s">
        <v>476</v>
      </c>
    </row>
    <row r="27" spans="1:17">
      <c r="G27" s="838"/>
      <c r="H27" s="838"/>
      <c r="J27" s="836" t="s">
        <v>350</v>
      </c>
      <c r="K27" s="836"/>
      <c r="L27" s="137"/>
      <c r="M27" s="836"/>
      <c r="N27" s="836"/>
      <c r="O27" s="137" t="s">
        <v>477</v>
      </c>
    </row>
    <row r="28" spans="1:17">
      <c r="J28" s="836" t="s">
        <v>351</v>
      </c>
      <c r="K28" s="836"/>
      <c r="L28" s="137"/>
      <c r="O28" s="137" t="s">
        <v>478</v>
      </c>
    </row>
    <row r="29" spans="1:17">
      <c r="O29" s="137" t="s">
        <v>479</v>
      </c>
    </row>
    <row r="30" spans="1:17">
      <c r="J30" s="836" t="s">
        <v>333</v>
      </c>
      <c r="K30" s="836"/>
      <c r="L30" s="836"/>
      <c r="O30" s="137" t="s">
        <v>480</v>
      </c>
    </row>
    <row r="31" spans="1:17">
      <c r="O31" s="137" t="s">
        <v>481</v>
      </c>
    </row>
    <row r="32" spans="1:17">
      <c r="J32" s="41"/>
      <c r="O32" s="137" t="s">
        <v>482</v>
      </c>
    </row>
    <row r="33" spans="10:15">
      <c r="J33" s="137"/>
      <c r="O33" s="137" t="s">
        <v>484</v>
      </c>
    </row>
    <row r="34" spans="10:15">
      <c r="J34" s="137"/>
      <c r="O34" s="137" t="s">
        <v>483</v>
      </c>
    </row>
    <row r="35" spans="10:15">
      <c r="O35" s="137" t="s">
        <v>485</v>
      </c>
    </row>
    <row r="36" spans="10:15">
      <c r="O36" s="137" t="s">
        <v>486</v>
      </c>
    </row>
    <row r="37" spans="10:15">
      <c r="O37" s="137" t="s">
        <v>487</v>
      </c>
    </row>
  </sheetData>
  <sheetProtection algorithmName="SHA-512" hashValue="zSxnZnM47DRDmwOOKWSggZZotgXaz7Q7g4Ms4WJvCuYHhuLPpX2/MRkt/J3++FkbjQhzeA/FM34NfrU6qSubxg==" saltValue="0tWXGJYMUkRyYNAy+zGJbg==" spinCount="100000" sheet="1" objects="1" scenarios="1"/>
  <mergeCells count="28">
    <mergeCell ref="A17:C17"/>
    <mergeCell ref="Q11:Q15"/>
    <mergeCell ref="P11:P15"/>
    <mergeCell ref="O11:O15"/>
    <mergeCell ref="A1:B1"/>
    <mergeCell ref="A2:C2"/>
    <mergeCell ref="A3:C3"/>
    <mergeCell ref="A4:C4"/>
    <mergeCell ref="A5:C5"/>
    <mergeCell ref="A7:C7"/>
    <mergeCell ref="A6:C6"/>
    <mergeCell ref="G26:G27"/>
    <mergeCell ref="H26:H27"/>
    <mergeCell ref="J21:K21"/>
    <mergeCell ref="J22:K22"/>
    <mergeCell ref="J23:K23"/>
    <mergeCell ref="J24:K24"/>
    <mergeCell ref="J25:K25"/>
    <mergeCell ref="J27:K27"/>
    <mergeCell ref="J26:L26"/>
    <mergeCell ref="J30:L30"/>
    <mergeCell ref="M21:N21"/>
    <mergeCell ref="M25:N25"/>
    <mergeCell ref="O21:P21"/>
    <mergeCell ref="O22:P22"/>
    <mergeCell ref="J28:K28"/>
    <mergeCell ref="M27:N27"/>
    <mergeCell ref="M26:N26"/>
  </mergeCells>
  <conditionalFormatting sqref="B11:B15">
    <cfRule type="beginsWith" dxfId="276" priority="93" operator="beginsWith" text="Range ">
      <formula>LEFT(B11,LEN("Range "))="Range "</formula>
    </cfRule>
  </conditionalFormatting>
  <conditionalFormatting sqref="B21:D25">
    <cfRule type="cellIs" dxfId="275" priority="53" operator="equal">
      <formula>0</formula>
    </cfRule>
  </conditionalFormatting>
  <conditionalFormatting sqref="B11:M15">
    <cfRule type="containsBlanks" dxfId="274" priority="5">
      <formula>LEN(TRIM(B11))=0</formula>
    </cfRule>
  </conditionalFormatting>
  <conditionalFormatting sqref="C11:C15">
    <cfRule type="beginsWith" dxfId="273" priority="68" operator="beginsWith" text="Variety ">
      <formula>LEFT(C11,LEN("Variety "))="Variety "</formula>
    </cfRule>
  </conditionalFormatting>
  <conditionalFormatting sqref="D11">
    <cfRule type="containsText" dxfId="272" priority="1" operator="containsText" text="Lead varietal first">
      <formula>NOT(ISERROR(SEARCH("Lead varietal first",D11)))</formula>
    </cfRule>
  </conditionalFormatting>
  <conditionalFormatting sqref="E21:E25">
    <cfRule type="containsText" dxfId="271" priority="83" operator="containsText" text="Select Market">
      <formula>NOT(ISERROR(SEARCH("Select Market",E21)))</formula>
    </cfRule>
  </conditionalFormatting>
  <conditionalFormatting sqref="F11:F15">
    <cfRule type="beginsWith" dxfId="270" priority="86" operator="beginsWith" text="Region ">
      <formula>LEFT(F11,LEN("Region "))="Region "</formula>
    </cfRule>
  </conditionalFormatting>
  <conditionalFormatting sqref="F21:F25">
    <cfRule type="cellIs" dxfId="269" priority="77" operator="equal">
      <formula>0</formula>
    </cfRule>
  </conditionalFormatting>
  <conditionalFormatting sqref="G11:G15">
    <cfRule type="containsText" dxfId="268" priority="84" operator="containsText" text="XXXX">
      <formula>NOT(ISERROR(SEARCH("XXXX",G11)))</formula>
    </cfRule>
  </conditionalFormatting>
  <conditionalFormatting sqref="G21:G25">
    <cfRule type="expression" dxfId="267" priority="3">
      <formula>IF(E21="USA",1,0)</formula>
    </cfRule>
    <cfRule type="containsBlanks" dxfId="266" priority="36">
      <formula>LEN(TRIM(G21))=0</formula>
    </cfRule>
    <cfRule type="expression" dxfId="265" priority="38">
      <formula>IF(E21="Thailand",1,0)</formula>
    </cfRule>
    <cfRule type="expression" dxfId="264" priority="39">
      <formula>IF(E21="Sweden",1,0)</formula>
    </cfRule>
    <cfRule type="expression" dxfId="263" priority="40">
      <formula>IF(E21="South Korea",1,0)</formula>
    </cfRule>
    <cfRule type="expression" dxfId="262" priority="41">
      <formula>IF(E21="Singapore",1,0)</formula>
    </cfRule>
    <cfRule type="expression" dxfId="261" priority="42">
      <formula>IF(E21="Poland",1,0)</formula>
    </cfRule>
    <cfRule type="expression" dxfId="260" priority="43">
      <formula>IF(E21="Japan",1,0)</formula>
    </cfRule>
    <cfRule type="expression" dxfId="259" priority="44">
      <formula>IF(E21="Denmark",1,0)</formula>
    </cfRule>
    <cfRule type="expression" dxfId="258" priority="45">
      <formula>IF(E21="Canada",1,0)</formula>
    </cfRule>
    <cfRule type="expression" dxfId="257" priority="46">
      <formula>IF(E21="Brazil",1,0)</formula>
    </cfRule>
    <cfRule type="expression" dxfId="256" priority="47">
      <formula>IF(OR(E21="Belgium",E21="Germany",E21="Netherlands"),1,0)</formula>
    </cfRule>
    <cfRule type="expression" dxfId="255" priority="48">
      <formula>IF(E21="UK",1,0)</formula>
    </cfRule>
    <cfRule type="expression" dxfId="254" priority="49">
      <formula>IF(E21="Select Market",1,0)</formula>
    </cfRule>
    <cfRule type="expression" dxfId="253" priority="50">
      <formula>IF(E21="China",1,0)</formula>
    </cfRule>
  </conditionalFormatting>
  <conditionalFormatting sqref="H21:H25">
    <cfRule type="expression" dxfId="252" priority="2">
      <formula>IF(E21="USA",1,0)</formula>
    </cfRule>
    <cfRule type="containsText" dxfId="251" priority="95" operator="containsText" text="Price">
      <formula>NOT(ISERROR(SEARCH("Price",H21)))</formula>
    </cfRule>
    <cfRule type="expression" dxfId="250" priority="96">
      <formula>IF(E21="Thailand",1,0)</formula>
    </cfRule>
    <cfRule type="expression" dxfId="249" priority="97">
      <formula>IF(E21="Sweden",1,0)</formula>
    </cfRule>
    <cfRule type="expression" dxfId="248" priority="98">
      <formula>IF(E21="South Korea",1,0)</formula>
    </cfRule>
    <cfRule type="expression" dxfId="247" priority="99">
      <formula>IF(E21="Singapore",1,0)</formula>
    </cfRule>
    <cfRule type="expression" dxfId="246" priority="100">
      <formula>IF(E21="Poland",1,0)</formula>
    </cfRule>
    <cfRule type="expression" dxfId="245" priority="101">
      <formula>IF(E21="Japan",1,0)</formula>
    </cfRule>
    <cfRule type="expression" dxfId="244" priority="102">
      <formula>IF(E21="Denmark",1,0)</formula>
    </cfRule>
    <cfRule type="expression" dxfId="243" priority="103">
      <formula>IF(E21="Canada",1,0)</formula>
    </cfRule>
    <cfRule type="expression" dxfId="242" priority="104">
      <formula>IF(E21="Brazil",1,0)</formula>
    </cfRule>
    <cfRule type="expression" dxfId="241" priority="105">
      <formula>IF(OR(E21="Belgium",E21="Germany",E21="Netherlands"),1,0)</formula>
    </cfRule>
    <cfRule type="expression" dxfId="240" priority="106">
      <formula>IF(E21="UK",1,0)</formula>
    </cfRule>
    <cfRule type="expression" dxfId="239" priority="107">
      <formula>IF(E21="Select Market",1,0)</formula>
    </cfRule>
    <cfRule type="expression" dxfId="238" priority="108">
      <formula>IF(E21="China",1,0)</formula>
    </cfRule>
    <cfRule type="cellIs" dxfId="237" priority="109" operator="lessThanOrEqual">
      <formula>0</formula>
    </cfRule>
    <cfRule type="expression" dxfId="236" priority="110">
      <formula>IF(AND((H21/G21)&gt;=0.8,(H21/G21)&lt;=1.2),1,0)</formula>
    </cfRule>
  </conditionalFormatting>
  <conditionalFormatting sqref="K13:K15">
    <cfRule type="containsBlanks" dxfId="235" priority="174">
      <formula>LEN(TRIM(K13))=0</formula>
    </cfRule>
  </conditionalFormatting>
  <conditionalFormatting sqref="N11:N15">
    <cfRule type="cellIs" dxfId="234" priority="72" operator="equal">
      <formula>0</formula>
    </cfRule>
  </conditionalFormatting>
  <conditionalFormatting sqref="O11:Q11">
    <cfRule type="cellIs" dxfId="233" priority="54" operator="equal">
      <formula>0</formula>
    </cfRule>
  </conditionalFormatting>
  <hyperlinks>
    <hyperlink ref="A3" location="'Net Revenue'!A1" display="Go to Net Revenue calculator" xr:uid="{EF92FB93-3A45-794D-9A2E-5E239971E5D6}"/>
    <hyperlink ref="A2" location="'Gross Revenue'!A1" display="Go to Gross revenue calculator" xr:uid="{FF9A4FC2-3D44-5E45-A7D8-527D5716A99C}"/>
    <hyperlink ref="A2:C2" location="'Sales Plan'!A1" display="Go to Sales Plan" xr:uid="{264DA8A3-E3D7-4442-9657-736E3ECBE22D}"/>
    <hyperlink ref="A4:C4" location="'Shipment Cost Schedule'!A1" display="Go to Shipment Cost Schedule" xr:uid="{04415341-7420-654C-BB80-F28BBCFBB0B1}"/>
    <hyperlink ref="A5:C5" location="'Competitor Set Evaluation'!A1" display="Go to Competitor Set" xr:uid="{82CB38F2-2745-014D-ACF3-9D877927FB7C}"/>
    <hyperlink ref="A7:C7" location="'Risk Matrix'!A1" display="Go to Risk Matrix" xr:uid="{A7463DC6-9609-4943-98D5-BB86C8DDC745}"/>
    <hyperlink ref="M21" r:id="rId1" xr:uid="{B14C50CA-4E8F-5B44-965E-2FB96B5B6939}"/>
    <hyperlink ref="M22" r:id="rId2" xr:uid="{EB9DE521-0150-3641-A189-5D3FC16DA271}"/>
    <hyperlink ref="M23" r:id="rId3" xr:uid="{4E92E3C6-720F-4243-BAF1-07FF989CEC43}"/>
    <hyperlink ref="M24" r:id="rId4" xr:uid="{CA7F6827-9363-7E4A-9698-93B51381EA2B}"/>
    <hyperlink ref="M25" r:id="rId5" xr:uid="{504D1228-0B36-514A-A900-A34BA620963E}"/>
    <hyperlink ref="O21" r:id="rId6" xr:uid="{43E2A0AA-62E0-AA45-A5F1-A18573B0C1B9}"/>
    <hyperlink ref="O22" r:id="rId7" xr:uid="{64418D69-59AE-FF49-B71F-8A8D69BC51A8}"/>
    <hyperlink ref="J30" r:id="rId8" xr:uid="{E2A01BEE-A5F7-294D-B919-A9E4FF18D637}"/>
    <hyperlink ref="O23" r:id="rId9" xr:uid="{E4F1347E-9D12-9744-9312-550054A4D50D}"/>
    <hyperlink ref="O24" r:id="rId10" xr:uid="{16C600DD-05EA-0449-8440-AC2B4B0068D2}"/>
    <hyperlink ref="J21:K21" location="'1 GEN'!A1" display="Generic RRP" xr:uid="{C75F5D86-6281-7A4A-8EBE-158D84AB313E}"/>
    <hyperlink ref="J22:K22" location="'2 PRC'!A1" display="China RRP " xr:uid="{C4214B8E-DC82-3C45-83F3-AD3627084D50}"/>
    <hyperlink ref="J23:K23" location="'3 HK'!A1" display="Hong Kong RRP" xr:uid="{CC9AD2F1-AD03-E148-A8B6-EB217D24094A}"/>
    <hyperlink ref="J24:K24" location="'4 SING'!A1" display="Singapore RRP" xr:uid="{917C391F-AA8D-9146-9263-5BAA2D558527}"/>
    <hyperlink ref="J25:K25" location="'5 UK'!A1" display="United Kingdom RRP" xr:uid="{C2796207-0219-B94D-87EE-45AE46709542}"/>
    <hyperlink ref="J26:L26" location="'6 USA'!A1" display="United States of America RRP " xr:uid="{12AB65A7-08DA-E241-A7DC-4EC2BF6A1E18}"/>
    <hyperlink ref="J27:K27" location="'7 LCBO'!A1" display="LCBO (Canada RRP)" xr:uid="{400888AD-8A7E-DE44-B69B-AAEAC0C72355}"/>
    <hyperlink ref="J28:K28" location="'8 Nord'!A1" display="Nordics RRP" xr:uid="{D5E36E7E-D5B5-2E42-94C7-2B1517C1AE30}"/>
    <hyperlink ref="A17:C17" location="'Print Wine Offer'!A1" display="Go to Print Version of Wine Offer" xr:uid="{AE56CE99-80A9-4048-B3BF-66E51B5F3C94}"/>
    <hyperlink ref="M25:N25" r:id="rId11" display="Wine Spectator" xr:uid="{41E3A8E9-862C-AB4F-B0C0-E3001AC7A5B5}"/>
    <hyperlink ref="O25" r:id="rId12" xr:uid="{DD75DA90-3102-924B-8BDE-6D0C290E9C6D}"/>
    <hyperlink ref="O26" r:id="rId13" xr:uid="{170BF5D2-34D7-A445-BF5C-BE73A57DCC45}"/>
    <hyperlink ref="O27" r:id="rId14" xr:uid="{E81C2640-3096-3B4F-89B9-108CC5D379DB}"/>
    <hyperlink ref="O28" r:id="rId15" xr:uid="{DD083238-9F7E-E445-992F-262FFD89E858}"/>
    <hyperlink ref="O29" r:id="rId16" xr:uid="{5BDDD69B-4972-A844-A282-B8DA9CEA405A}"/>
    <hyperlink ref="O30" r:id="rId17" xr:uid="{351CF335-3062-3B47-8E72-0A84167CD716}"/>
    <hyperlink ref="O31" r:id="rId18" xr:uid="{DA8CC0EF-7AB3-F946-98C2-46EE8900095C}"/>
    <hyperlink ref="O32" r:id="rId19" xr:uid="{29630AAB-3128-0242-B389-9478A0302616}"/>
    <hyperlink ref="O33" r:id="rId20" xr:uid="{150C6465-419E-F04E-8F0B-B4C7C3645891}"/>
    <hyperlink ref="O34" r:id="rId21" xr:uid="{0947A782-181F-CF4D-AA6E-38138F5F7C31}"/>
    <hyperlink ref="O35" r:id="rId22" xr:uid="{287A42C0-8969-0D4E-BDEB-7617C8A41B4E}"/>
    <hyperlink ref="O36" r:id="rId23" xr:uid="{439F2F49-9F8E-3E44-AA97-03575B8FA381}"/>
    <hyperlink ref="O37" r:id="rId24" xr:uid="{C39CBA29-133F-454A-B2BB-EEE7EAFC7E8A}"/>
    <hyperlink ref="A6:C6" location="'Reputation &amp; Awareness'!A1" display="Go to Reputation &amp; Awareness" xr:uid="{63C1BD44-9414-0B4B-87C8-37D0025FA09C}"/>
    <hyperlink ref="M26" r:id="rId25" xr:uid="{D6D3E18A-780E-7143-9598-33714E1B3021}"/>
  </hyperlinks>
  <pageMargins left="0.7" right="0.7" top="0.75" bottom="0.75" header="0.3" footer="0.3"/>
  <pageSetup paperSize="9" scale="45" fitToHeight="0" orientation="landscape" horizontalDpi="1200" verticalDpi="1200" r:id="rId26"/>
  <drawing r:id="rId27"/>
  <extLst>
    <ext xmlns:x14="http://schemas.microsoft.com/office/spreadsheetml/2009/9/main" uri="{CCE6A557-97BC-4b89-ADB6-D9C93CAAB3DF}">
      <x14:dataValidations xmlns:xm="http://schemas.microsoft.com/office/excel/2006/main" count="1">
        <x14:dataValidation type="list" allowBlank="1" showInputMessage="1" showErrorMessage="1" xr:uid="{E340DA10-177E-0549-85A9-CCD69A9B4D4C}">
          <x14:formula1>
            <xm:f>Data!$B$3:$B$19</xm:f>
          </x14:formula1>
          <xm:sqref>E21:E25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A51F6-79BA-B642-BF66-DC3246578AF2}">
  <sheetPr codeName="Sheet8">
    <tabColor theme="5"/>
    <pageSetUpPr fitToPage="1"/>
  </sheetPr>
  <dimension ref="A1:L16"/>
  <sheetViews>
    <sheetView workbookViewId="0">
      <selection activeCell="Q11" sqref="Q11:Q15"/>
    </sheetView>
  </sheetViews>
  <sheetFormatPr defaultColWidth="10.83203125" defaultRowHeight="20"/>
  <cols>
    <col min="1" max="1" width="10.83203125" style="3"/>
    <col min="2" max="2" width="20" style="3" customWidth="1"/>
    <col min="3" max="3" width="20.83203125" style="3" customWidth="1"/>
    <col min="4" max="4" width="21.33203125" style="3" customWidth="1"/>
    <col min="5" max="5" width="11.58203125" style="3" customWidth="1"/>
    <col min="6" max="6" width="24.33203125" style="3" customWidth="1"/>
    <col min="7" max="7" width="11.58203125" style="3" customWidth="1"/>
    <col min="8" max="8" width="18.83203125" style="3" customWidth="1"/>
    <col min="9" max="9" width="11.5" style="3" customWidth="1"/>
    <col min="10" max="10" width="17.08203125" style="3" customWidth="1"/>
    <col min="11" max="11" width="23.83203125" style="3" customWidth="1"/>
    <col min="12" max="12" width="15" style="3" customWidth="1"/>
    <col min="13" max="16384" width="10.83203125" style="3"/>
  </cols>
  <sheetData>
    <row r="1" spans="1:12" ht="37" customHeight="1">
      <c r="A1" s="877" t="s">
        <v>234</v>
      </c>
      <c r="B1" s="877"/>
      <c r="C1" s="877"/>
    </row>
    <row r="2" spans="1:12" ht="37" customHeight="1">
      <c r="A2" s="877" t="s">
        <v>206</v>
      </c>
      <c r="B2" s="877"/>
      <c r="C2" s="877"/>
    </row>
    <row r="3" spans="1:12" ht="10" customHeight="1" thickBot="1">
      <c r="A3" s="42"/>
      <c r="B3" s="42"/>
    </row>
    <row r="4" spans="1:12">
      <c r="A4" s="42"/>
      <c r="B4" s="312" t="s">
        <v>236</v>
      </c>
      <c r="C4" s="105"/>
      <c r="D4" s="105"/>
      <c r="E4" s="105"/>
      <c r="F4" s="105"/>
    </row>
    <row r="5" spans="1:12">
      <c r="A5" s="42"/>
      <c r="B5" s="313"/>
      <c r="C5" s="105"/>
      <c r="D5" s="105"/>
      <c r="E5" s="105"/>
      <c r="F5" s="105"/>
    </row>
    <row r="6" spans="1:12">
      <c r="A6" s="42"/>
      <c r="B6" s="313"/>
      <c r="C6" s="105"/>
      <c r="D6" s="105"/>
      <c r="E6" s="105"/>
      <c r="F6" s="105"/>
    </row>
    <row r="7" spans="1:12" ht="20.5" thickBot="1">
      <c r="A7" s="42"/>
      <c r="B7" s="314"/>
      <c r="C7" s="105"/>
      <c r="D7" s="105"/>
      <c r="E7" s="105"/>
      <c r="F7" s="105"/>
    </row>
    <row r="8" spans="1:12" ht="20.5" thickBot="1"/>
    <row r="9" spans="1:12" ht="27.5">
      <c r="B9" s="183" t="str">
        <f>Home!B9</f>
        <v>Wine Offer Template</v>
      </c>
      <c r="C9" s="184"/>
      <c r="D9" s="184"/>
      <c r="E9" s="184"/>
      <c r="F9" s="184"/>
      <c r="G9" s="184"/>
      <c r="H9" s="184"/>
      <c r="I9" s="184"/>
      <c r="J9" s="184"/>
      <c r="K9" s="184"/>
      <c r="L9" s="185"/>
    </row>
    <row r="10" spans="1:12" ht="20.5" thickBot="1">
      <c r="B10" s="186"/>
      <c r="C10" s="187"/>
      <c r="D10" s="187"/>
      <c r="E10" s="187"/>
      <c r="F10" s="187"/>
      <c r="G10" s="187"/>
      <c r="H10" s="187"/>
      <c r="I10" s="187"/>
      <c r="J10" s="187"/>
      <c r="K10" s="187"/>
      <c r="L10" s="188"/>
    </row>
    <row r="11" spans="1:12" ht="50.15" customHeight="1">
      <c r="B11" s="178" t="str">
        <f>Home!B10</f>
        <v>Brand</v>
      </c>
      <c r="C11" s="179" t="str">
        <f>Home!C10</f>
        <v>Range</v>
      </c>
      <c r="D11" s="179" t="str">
        <f>Home!D10</f>
        <v>Varietal</v>
      </c>
      <c r="E11" s="179" t="str">
        <f>Home!E10</f>
        <v>Alcohol (%)</v>
      </c>
      <c r="F11" s="179" t="str">
        <f>Home!F10</f>
        <v>Region/GI</v>
      </c>
      <c r="G11" s="179" t="str">
        <f>Home!G10</f>
        <v>Vintage</v>
      </c>
      <c r="H11" s="179" t="str">
        <f>Home!H10</f>
        <v>Release date</v>
      </c>
      <c r="I11" s="179" t="str">
        <f>Home!I10</f>
        <v>Closure</v>
      </c>
      <c r="J11" s="179" t="str">
        <f>Home!K10</f>
        <v>Bottles/case</v>
      </c>
      <c r="K11" s="179" t="str">
        <f>Home!J10</f>
        <v>Current cases available</v>
      </c>
      <c r="L11" s="180" t="str">
        <f>Home!F20</f>
        <v>FOB ($/case)</v>
      </c>
    </row>
    <row r="12" spans="1:12">
      <c r="B12" s="150">
        <f>Home!B11</f>
        <v>0</v>
      </c>
      <c r="C12" s="24">
        <f>Home!C11</f>
        <v>0</v>
      </c>
      <c r="D12" s="24" t="str">
        <f>Home!D11</f>
        <v>Lead varietal first</v>
      </c>
      <c r="E12" s="36">
        <f>Home!E11</f>
        <v>0</v>
      </c>
      <c r="F12" s="24">
        <f>Home!F11</f>
        <v>0</v>
      </c>
      <c r="G12" s="24">
        <f>Home!G11</f>
        <v>0</v>
      </c>
      <c r="H12" s="37">
        <f>Home!H11</f>
        <v>0</v>
      </c>
      <c r="I12" s="24">
        <f>Home!I11</f>
        <v>0</v>
      </c>
      <c r="J12" s="24">
        <f>Home!K11</f>
        <v>0</v>
      </c>
      <c r="K12" s="38">
        <f>Home!J11</f>
        <v>0</v>
      </c>
      <c r="L12" s="181">
        <f>Home!F21</f>
        <v>0</v>
      </c>
    </row>
    <row r="13" spans="1:12">
      <c r="B13" s="150">
        <f>Home!B12</f>
        <v>0</v>
      </c>
      <c r="C13" s="24">
        <f>Home!C12</f>
        <v>0</v>
      </c>
      <c r="D13" s="24">
        <f>Home!D12</f>
        <v>0</v>
      </c>
      <c r="E13" s="36">
        <f>Home!E12</f>
        <v>0</v>
      </c>
      <c r="F13" s="24">
        <f>Home!F12</f>
        <v>0</v>
      </c>
      <c r="G13" s="24">
        <f>Home!G12</f>
        <v>0</v>
      </c>
      <c r="H13" s="37">
        <f>Home!H12</f>
        <v>0</v>
      </c>
      <c r="I13" s="24">
        <f>Home!I12</f>
        <v>0</v>
      </c>
      <c r="J13" s="24">
        <f>Home!K12</f>
        <v>0</v>
      </c>
      <c r="K13" s="38">
        <f>Home!J12</f>
        <v>0</v>
      </c>
      <c r="L13" s="181">
        <f>Home!F22</f>
        <v>0</v>
      </c>
    </row>
    <row r="14" spans="1:12">
      <c r="B14" s="150">
        <f>Home!B13</f>
        <v>0</v>
      </c>
      <c r="C14" s="24">
        <f>Home!C13</f>
        <v>0</v>
      </c>
      <c r="D14" s="24">
        <f>Home!D13</f>
        <v>0</v>
      </c>
      <c r="E14" s="36">
        <f>Home!E13</f>
        <v>0</v>
      </c>
      <c r="F14" s="24">
        <f>Home!F13</f>
        <v>0</v>
      </c>
      <c r="G14" s="24">
        <f>Home!G13</f>
        <v>0</v>
      </c>
      <c r="H14" s="24">
        <f>Home!H13</f>
        <v>0</v>
      </c>
      <c r="I14" s="24">
        <f>Home!I13</f>
        <v>0</v>
      </c>
      <c r="J14" s="24">
        <f>Home!K13</f>
        <v>0</v>
      </c>
      <c r="K14" s="38">
        <f>Home!J13</f>
        <v>0</v>
      </c>
      <c r="L14" s="181">
        <f>Home!F23</f>
        <v>0</v>
      </c>
    </row>
    <row r="15" spans="1:12">
      <c r="B15" s="150">
        <f>Home!B14</f>
        <v>0</v>
      </c>
      <c r="C15" s="24">
        <f>Home!C14</f>
        <v>0</v>
      </c>
      <c r="D15" s="24">
        <f>Home!D14</f>
        <v>0</v>
      </c>
      <c r="E15" s="36">
        <f>Home!E14</f>
        <v>0</v>
      </c>
      <c r="F15" s="24">
        <f>Home!F14</f>
        <v>0</v>
      </c>
      <c r="G15" s="24">
        <f>Home!G14</f>
        <v>0</v>
      </c>
      <c r="H15" s="24">
        <f>Home!H14</f>
        <v>0</v>
      </c>
      <c r="I15" s="24">
        <f>Home!I14</f>
        <v>0</v>
      </c>
      <c r="J15" s="24">
        <f>Home!K14</f>
        <v>0</v>
      </c>
      <c r="K15" s="38">
        <f>Home!J14</f>
        <v>0</v>
      </c>
      <c r="L15" s="181">
        <f>Home!F24</f>
        <v>0</v>
      </c>
    </row>
    <row r="16" spans="1:12" ht="20.5" thickBot="1">
      <c r="B16" s="152">
        <f>Home!B15</f>
        <v>0</v>
      </c>
      <c r="C16" s="153">
        <f>Home!C15</f>
        <v>0</v>
      </c>
      <c r="D16" s="153">
        <f>Home!D15</f>
        <v>0</v>
      </c>
      <c r="E16" s="354">
        <f>Home!E15</f>
        <v>0</v>
      </c>
      <c r="F16" s="153">
        <f>Home!F15</f>
        <v>0</v>
      </c>
      <c r="G16" s="153">
        <f>Home!G15</f>
        <v>0</v>
      </c>
      <c r="H16" s="153">
        <f>Home!H15</f>
        <v>0</v>
      </c>
      <c r="I16" s="153">
        <f>Home!I15</f>
        <v>0</v>
      </c>
      <c r="J16" s="153">
        <f>Home!K15</f>
        <v>0</v>
      </c>
      <c r="K16" s="357">
        <f>Home!J15</f>
        <v>0</v>
      </c>
      <c r="L16" s="182">
        <f>Home!F25</f>
        <v>0</v>
      </c>
    </row>
  </sheetData>
  <sheetProtection algorithmName="SHA-512" hashValue="8dMp9OM7qEdIfoEMoylIAFe9pFe0mq2m233wKdnt0XxvUyM+OEXQgekhzcFwiqfXWmIXuTCbQBk4E7FcvWTZgg==" saltValue="EQvam3sr/jHTYP9++d80pA==" spinCount="100000" sheet="1" objects="1" scenarios="1"/>
  <mergeCells count="2">
    <mergeCell ref="A1:C1"/>
    <mergeCell ref="A2:C2"/>
  </mergeCells>
  <conditionalFormatting sqref="B11:L16">
    <cfRule type="cellIs" dxfId="19" priority="1" operator="lessThanOrEqual">
      <formula>0</formula>
    </cfRule>
  </conditionalFormatting>
  <hyperlinks>
    <hyperlink ref="A1" location="'Wine Offer Template'!A1" display="Go back to template" xr:uid="{BA603121-A86E-784F-BB1E-831C30F1370E}"/>
    <hyperlink ref="A1:C1" location="Home!A1" display="Return Home" xr:uid="{BA3A6181-61FF-E449-9DD7-C95CC2513CFB}"/>
    <hyperlink ref="A2" location="'Net Revenue'!A1" display="Go to Net Revenue" xr:uid="{F03FCD08-EEC1-5640-80C5-BBB71FE9E0AC}"/>
  </hyperlinks>
  <pageMargins left="0.7" right="0.7" top="0.75" bottom="0.75" header="0.3" footer="0.3"/>
  <pageSetup paperSize="9" scale="61" fitToHeight="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98B7E-2002-5249-82F0-646F10821CF8}">
  <sheetPr codeName="Sheet10">
    <tabColor theme="7"/>
  </sheetPr>
  <dimension ref="A1:M31"/>
  <sheetViews>
    <sheetView zoomScale="130" zoomScaleNormal="130" workbookViewId="0">
      <selection activeCell="F7" sqref="F7"/>
    </sheetView>
  </sheetViews>
  <sheetFormatPr defaultColWidth="10.83203125" defaultRowHeight="15.5"/>
  <cols>
    <col min="1" max="1" width="10.83203125" style="392"/>
    <col min="2" max="2" width="48.5" style="392" bestFit="1" customWidth="1"/>
    <col min="3" max="3" width="13.08203125" style="392" customWidth="1"/>
    <col min="4" max="4" width="7.5" style="392" customWidth="1"/>
    <col min="5" max="5" width="16.58203125" style="392" customWidth="1"/>
    <col min="6" max="6" width="22.08203125" style="392" customWidth="1"/>
    <col min="7" max="7" width="18.58203125" style="392" bestFit="1" customWidth="1"/>
    <col min="8" max="8" width="2.58203125" style="392" customWidth="1"/>
    <col min="9" max="9" width="18.58203125" style="392" customWidth="1"/>
    <col min="10" max="10" width="8.5" style="392" customWidth="1"/>
    <col min="11" max="11" width="24.5" style="392" customWidth="1"/>
    <col min="12" max="12" width="20" style="392" customWidth="1"/>
    <col min="13" max="13" width="19.58203125" style="392" customWidth="1"/>
    <col min="14" max="16384" width="10.83203125" style="392"/>
  </cols>
  <sheetData>
    <row r="1" spans="1:13" ht="18" customHeight="1">
      <c r="A1" s="393"/>
      <c r="B1" s="393"/>
    </row>
    <row r="2" spans="1:13" ht="26.15" customHeight="1">
      <c r="A2" s="393"/>
      <c r="B2" s="394" t="s">
        <v>344</v>
      </c>
      <c r="C2" s="395"/>
      <c r="D2" s="395"/>
      <c r="E2" s="395"/>
      <c r="F2" s="395"/>
      <c r="G2" s="395"/>
      <c r="H2" s="395"/>
      <c r="I2" s="395"/>
    </row>
    <row r="3" spans="1:13" s="398" customFormat="1" ht="13" customHeight="1">
      <c r="A3" s="396"/>
      <c r="B3" s="397"/>
    </row>
    <row r="4" spans="1:13" ht="21">
      <c r="B4" s="399" t="s">
        <v>237</v>
      </c>
      <c r="C4" s="400">
        <v>190</v>
      </c>
      <c r="D4" s="401"/>
      <c r="F4" s="401"/>
      <c r="G4" s="401"/>
      <c r="H4" s="401"/>
      <c r="I4" s="401"/>
    </row>
    <row r="5" spans="1:13" ht="13" customHeight="1">
      <c r="B5" s="401"/>
      <c r="C5" s="401"/>
      <c r="D5" s="401"/>
      <c r="E5" s="401"/>
      <c r="F5" s="401"/>
      <c r="G5" s="401"/>
      <c r="H5" s="401"/>
      <c r="I5" s="401"/>
    </row>
    <row r="6" spans="1:13" s="402" customFormat="1" ht="54" customHeight="1">
      <c r="B6" s="403" t="s">
        <v>47</v>
      </c>
      <c r="C6" s="403" t="s">
        <v>238</v>
      </c>
      <c r="D6" s="403" t="s">
        <v>239</v>
      </c>
      <c r="E6" s="403" t="s">
        <v>240</v>
      </c>
      <c r="F6" s="403" t="s">
        <v>241</v>
      </c>
      <c r="G6" s="881" t="s">
        <v>242</v>
      </c>
      <c r="H6" s="881"/>
      <c r="I6" s="881"/>
      <c r="K6" s="404"/>
      <c r="L6" s="405"/>
      <c r="M6" s="405"/>
    </row>
    <row r="7" spans="1:13" s="406" customFormat="1" ht="35.15" customHeight="1">
      <c r="B7" s="407" t="s">
        <v>49</v>
      </c>
      <c r="C7" s="408">
        <f>'FOB Data'!C4</f>
        <v>0.481236</v>
      </c>
      <c r="D7" s="409">
        <f>VLOOKUP(C4,'FOB Data'!$B$17:$C$238,2)</f>
        <v>2.54</v>
      </c>
      <c r="E7" s="410">
        <f>$C$4*D7</f>
        <v>482.6</v>
      </c>
      <c r="F7" s="411">
        <f t="shared" ref="F7:F15" si="0">E7*C7</f>
        <v>232.2444936</v>
      </c>
      <c r="G7" s="412">
        <f>F7/12</f>
        <v>19.353707799999999</v>
      </c>
      <c r="H7" s="411" t="s">
        <v>243</v>
      </c>
      <c r="I7" s="413">
        <f>G7*1.3</f>
        <v>25.159820140000001</v>
      </c>
      <c r="K7" s="414"/>
      <c r="L7" s="415"/>
      <c r="M7" s="415"/>
    </row>
    <row r="8" spans="1:13" s="406" customFormat="1" ht="35.15" customHeight="1">
      <c r="B8" s="407" t="s">
        <v>244</v>
      </c>
      <c r="C8" s="408">
        <f>'FOB Data'!C5</f>
        <v>0.63464399999999999</v>
      </c>
      <c r="D8" s="409">
        <f>VLOOKUP(C4,'FOB Data'!$E$17:$F$238,2)</f>
        <v>2.5200000000000089</v>
      </c>
      <c r="E8" s="410">
        <f t="shared" ref="E8:E15" si="1">$C$4*D8</f>
        <v>478.80000000000172</v>
      </c>
      <c r="F8" s="416">
        <f t="shared" si="0"/>
        <v>303.86754720000107</v>
      </c>
      <c r="G8" s="417">
        <f>F8/12</f>
        <v>25.322295600000089</v>
      </c>
      <c r="H8" s="411" t="s">
        <v>243</v>
      </c>
      <c r="I8" s="418">
        <f>G8*1.3</f>
        <v>32.918984280000117</v>
      </c>
      <c r="K8" s="414"/>
      <c r="L8" s="415"/>
      <c r="M8" s="415"/>
    </row>
    <row r="9" spans="1:13" s="406" customFormat="1" ht="35.15" customHeight="1">
      <c r="B9" s="407" t="s">
        <v>245</v>
      </c>
      <c r="C9" s="408">
        <f>'FOB Data'!C6</f>
        <v>0.89680499999999996</v>
      </c>
      <c r="D9" s="409">
        <f>VLOOKUP(C4,'FOB Data'!$H$17:$I$238,2)</f>
        <v>2.1540000000000061</v>
      </c>
      <c r="E9" s="410">
        <f t="shared" si="1"/>
        <v>409.26000000000118</v>
      </c>
      <c r="F9" s="419">
        <f t="shared" si="0"/>
        <v>367.02641430000102</v>
      </c>
      <c r="G9" s="420">
        <f t="shared" ref="G9:G15" si="2">F9/12</f>
        <v>30.585534525000085</v>
      </c>
      <c r="H9" s="411" t="s">
        <v>243</v>
      </c>
      <c r="I9" s="421">
        <f t="shared" ref="I9:I15" si="3">G9*1.3</f>
        <v>39.761194882500114</v>
      </c>
      <c r="K9" s="414"/>
      <c r="L9" s="415"/>
      <c r="M9" s="415"/>
    </row>
    <row r="10" spans="1:13" s="406" customFormat="1" ht="35.15" customHeight="1">
      <c r="B10" s="407" t="s">
        <v>34</v>
      </c>
      <c r="C10" s="408">
        <f>'FOB Data'!C7</f>
        <v>4.6227070000000001</v>
      </c>
      <c r="D10" s="409">
        <f>VLOOKUP(C4,'FOB Data'!$K$17:$L$238,2)</f>
        <v>2.4</v>
      </c>
      <c r="E10" s="410">
        <f t="shared" si="1"/>
        <v>456</v>
      </c>
      <c r="F10" s="422">
        <f t="shared" si="0"/>
        <v>2107.9543920000001</v>
      </c>
      <c r="G10" s="423">
        <f t="shared" si="2"/>
        <v>175.66286600000001</v>
      </c>
      <c r="H10" s="411" t="s">
        <v>243</v>
      </c>
      <c r="I10" s="424">
        <f>G10*1.5</f>
        <v>263.49429900000001</v>
      </c>
      <c r="K10" s="414"/>
      <c r="L10" s="415"/>
      <c r="M10" s="415"/>
    </row>
    <row r="11" spans="1:13" s="406" customFormat="1" ht="35.15" customHeight="1">
      <c r="B11" s="407" t="s">
        <v>53</v>
      </c>
      <c r="C11" s="408">
        <f>'FOB Data'!C8</f>
        <v>0.57260500000000003</v>
      </c>
      <c r="D11" s="409">
        <v>2.52</v>
      </c>
      <c r="E11" s="410">
        <f t="shared" si="1"/>
        <v>478.8</v>
      </c>
      <c r="F11" s="425">
        <f t="shared" si="0"/>
        <v>274.163274</v>
      </c>
      <c r="G11" s="426">
        <f t="shared" si="2"/>
        <v>22.846939500000001</v>
      </c>
      <c r="H11" s="411" t="s">
        <v>243</v>
      </c>
      <c r="I11" s="427">
        <f t="shared" si="3"/>
        <v>29.701021350000001</v>
      </c>
      <c r="K11" s="414"/>
      <c r="L11" s="415"/>
      <c r="M11" s="415"/>
    </row>
    <row r="12" spans="1:13" s="406" customFormat="1" ht="35.15" customHeight="1">
      <c r="B12" s="407" t="s">
        <v>246</v>
      </c>
      <c r="C12" s="408">
        <f>'Exchange Rate data'!D30</f>
        <v>4.9360819999999999</v>
      </c>
      <c r="D12" s="409">
        <f>VLOOKUP(C4,'FOB Data'!$Q$17:$R$238,2)</f>
        <v>1.8</v>
      </c>
      <c r="E12" s="410">
        <f t="shared" si="1"/>
        <v>342</v>
      </c>
      <c r="F12" s="428">
        <f t="shared" si="0"/>
        <v>1688.140044</v>
      </c>
      <c r="G12" s="429">
        <f t="shared" si="2"/>
        <v>140.678337</v>
      </c>
      <c r="H12" s="411" t="s">
        <v>243</v>
      </c>
      <c r="I12" s="430">
        <f t="shared" si="3"/>
        <v>182.88183810000001</v>
      </c>
      <c r="K12" s="414"/>
      <c r="L12" s="415"/>
      <c r="M12" s="415"/>
    </row>
    <row r="13" spans="1:13" s="406" customFormat="1" ht="35.15" customHeight="1">
      <c r="B13" s="407" t="s">
        <v>55</v>
      </c>
      <c r="C13" s="408">
        <f>'FOB Data'!C10</f>
        <v>93.001467000000005</v>
      </c>
      <c r="D13" s="409">
        <f>VLOOKUP(C4,'FOB Data'!$T$17:$U$238,2)</f>
        <v>2.120000000000009</v>
      </c>
      <c r="E13" s="410">
        <f t="shared" si="1"/>
        <v>402.80000000000172</v>
      </c>
      <c r="F13" s="431">
        <f t="shared" si="0"/>
        <v>37460.990907600164</v>
      </c>
      <c r="G13" s="432">
        <f t="shared" si="2"/>
        <v>3121.7492423000135</v>
      </c>
      <c r="H13" s="411" t="s">
        <v>243</v>
      </c>
      <c r="I13" s="433">
        <f t="shared" si="3"/>
        <v>4058.2740149900178</v>
      </c>
      <c r="K13" s="414"/>
      <c r="L13" s="415"/>
      <c r="M13" s="415"/>
    </row>
    <row r="14" spans="1:13" s="406" customFormat="1" ht="35.15" customHeight="1">
      <c r="B14" s="407" t="s">
        <v>59</v>
      </c>
      <c r="C14" s="408">
        <f>'Exchange Rate data'!D39</f>
        <v>924.023101</v>
      </c>
      <c r="D14" s="409">
        <f>VLOOKUP(C4,'FOB Data'!$W$17:$X$238,2)</f>
        <v>2.8</v>
      </c>
      <c r="E14" s="410">
        <f t="shared" si="1"/>
        <v>532</v>
      </c>
      <c r="F14" s="434">
        <f t="shared" si="0"/>
        <v>491580.28973199998</v>
      </c>
      <c r="G14" s="435">
        <f t="shared" si="2"/>
        <v>40965.024144333329</v>
      </c>
      <c r="H14" s="411" t="s">
        <v>243</v>
      </c>
      <c r="I14" s="436">
        <f t="shared" si="3"/>
        <v>53254.531387633331</v>
      </c>
    </row>
    <row r="15" spans="1:13" s="406" customFormat="1" ht="35.15" customHeight="1">
      <c r="B15" s="407" t="s">
        <v>58</v>
      </c>
      <c r="C15" s="408">
        <f>'FOB Data'!C12</f>
        <v>11.938371999999999</v>
      </c>
      <c r="D15" s="409">
        <f>VLOOKUP(C4,'FOB Data'!$Z$17:$AA$238,2)</f>
        <v>2.6799999999999997</v>
      </c>
      <c r="E15" s="410">
        <f t="shared" si="1"/>
        <v>509.19999999999993</v>
      </c>
      <c r="F15" s="437">
        <f t="shared" si="0"/>
        <v>6079.0190223999989</v>
      </c>
      <c r="G15" s="438">
        <f t="shared" si="2"/>
        <v>506.58491853333322</v>
      </c>
      <c r="H15" s="411" t="s">
        <v>243</v>
      </c>
      <c r="I15" s="439">
        <f t="shared" si="3"/>
        <v>658.56039409333323</v>
      </c>
      <c r="K15" s="392"/>
      <c r="L15" s="392"/>
    </row>
    <row r="16" spans="1:13">
      <c r="B16" s="440" t="s">
        <v>247</v>
      </c>
    </row>
    <row r="18" spans="1:13">
      <c r="A18" s="398"/>
      <c r="B18" s="441"/>
      <c r="C18" s="398"/>
      <c r="D18" s="398"/>
      <c r="E18" s="398"/>
      <c r="F18" s="398"/>
      <c r="G18" s="398"/>
      <c r="H18" s="398"/>
      <c r="I18" s="398"/>
      <c r="J18" s="398"/>
      <c r="K18" s="398"/>
      <c r="L18" s="398"/>
      <c r="M18" s="398"/>
    </row>
    <row r="19" spans="1:13">
      <c r="A19" s="398"/>
      <c r="B19" s="441"/>
      <c r="C19" s="398"/>
      <c r="D19" s="398"/>
      <c r="E19" s="398"/>
      <c r="F19" s="398"/>
      <c r="G19" s="398"/>
      <c r="H19" s="398"/>
      <c r="I19" s="398"/>
      <c r="J19" s="398"/>
      <c r="K19" s="398"/>
      <c r="L19" s="398"/>
      <c r="M19" s="398"/>
    </row>
    <row r="20" spans="1:13">
      <c r="A20" s="398"/>
      <c r="B20" s="442"/>
      <c r="C20" s="442"/>
      <c r="D20" s="442"/>
      <c r="E20" s="442"/>
      <c r="F20" s="442"/>
      <c r="G20" s="442"/>
      <c r="H20" s="442"/>
      <c r="I20" s="442"/>
      <c r="J20" s="398"/>
      <c r="K20" s="442"/>
      <c r="L20" s="442"/>
      <c r="M20" s="398"/>
    </row>
    <row r="21" spans="1:13">
      <c r="A21" s="398"/>
      <c r="B21" s="442"/>
      <c r="C21" s="442"/>
      <c r="D21" s="442"/>
      <c r="E21" s="442"/>
      <c r="F21" s="442"/>
      <c r="G21" s="442"/>
      <c r="H21" s="442"/>
      <c r="I21" s="442"/>
      <c r="J21" s="443"/>
      <c r="K21" s="442"/>
      <c r="L21" s="442"/>
      <c r="M21" s="398"/>
    </row>
    <row r="22" spans="1:13">
      <c r="A22" s="398"/>
      <c r="B22" s="441"/>
      <c r="C22" s="441"/>
      <c r="D22" s="441"/>
      <c r="E22" s="444"/>
      <c r="F22" s="445"/>
      <c r="G22" s="445"/>
      <c r="H22" s="445"/>
      <c r="I22" s="445"/>
      <c r="J22" s="443"/>
      <c r="K22" s="446"/>
      <c r="L22" s="398"/>
      <c r="M22" s="398"/>
    </row>
    <row r="23" spans="1:13">
      <c r="A23" s="398"/>
      <c r="B23" s="441"/>
      <c r="C23" s="441"/>
      <c r="D23" s="441"/>
      <c r="E23" s="447"/>
      <c r="F23" s="445"/>
      <c r="G23" s="445"/>
      <c r="H23" s="445"/>
      <c r="I23" s="445"/>
      <c r="J23" s="398"/>
      <c r="K23" s="446"/>
      <c r="L23" s="398"/>
      <c r="M23" s="398"/>
    </row>
    <row r="24" spans="1:13">
      <c r="A24" s="398"/>
      <c r="B24" s="441"/>
      <c r="C24" s="441"/>
      <c r="D24" s="441"/>
      <c r="E24" s="447"/>
      <c r="F24" s="445"/>
      <c r="G24" s="445"/>
      <c r="H24" s="445"/>
      <c r="I24" s="445"/>
      <c r="J24" s="398"/>
      <c r="K24" s="446"/>
      <c r="L24" s="398"/>
      <c r="M24" s="398"/>
    </row>
    <row r="25" spans="1:13">
      <c r="A25" s="398"/>
      <c r="B25" s="441"/>
      <c r="C25" s="441"/>
      <c r="D25" s="441"/>
      <c r="E25" s="448"/>
      <c r="F25" s="445"/>
      <c r="G25" s="445"/>
      <c r="H25" s="445"/>
      <c r="I25" s="445"/>
      <c r="J25" s="398"/>
      <c r="K25" s="446"/>
      <c r="L25" s="398"/>
      <c r="M25" s="398"/>
    </row>
    <row r="26" spans="1:13">
      <c r="A26" s="398"/>
      <c r="B26" s="441"/>
      <c r="C26" s="441"/>
      <c r="D26" s="441"/>
      <c r="E26" s="449"/>
      <c r="F26" s="445"/>
      <c r="G26" s="445"/>
      <c r="H26" s="445"/>
      <c r="I26" s="445"/>
      <c r="J26" s="398"/>
      <c r="K26" s="446"/>
      <c r="L26" s="398"/>
      <c r="M26" s="398"/>
    </row>
    <row r="27" spans="1:13">
      <c r="A27" s="398"/>
      <c r="B27" s="441"/>
      <c r="C27" s="441"/>
      <c r="D27" s="441"/>
      <c r="E27" s="450"/>
      <c r="F27" s="445"/>
      <c r="G27" s="445"/>
      <c r="H27" s="445"/>
      <c r="I27" s="445"/>
      <c r="J27" s="398"/>
      <c r="K27" s="446"/>
      <c r="L27" s="398"/>
      <c r="M27" s="398"/>
    </row>
    <row r="28" spans="1:13">
      <c r="A28" s="398"/>
      <c r="B28" s="441"/>
      <c r="C28" s="441"/>
      <c r="D28" s="441"/>
      <c r="E28" s="451"/>
      <c r="F28" s="445"/>
      <c r="G28" s="445"/>
      <c r="H28" s="445"/>
      <c r="I28" s="445"/>
      <c r="J28" s="398"/>
      <c r="K28" s="446"/>
      <c r="L28" s="398"/>
      <c r="M28" s="398"/>
    </row>
    <row r="29" spans="1:13">
      <c r="A29" s="398"/>
      <c r="B29" s="441"/>
      <c r="C29" s="441"/>
      <c r="D29" s="441"/>
      <c r="E29" s="452"/>
      <c r="F29" s="445"/>
      <c r="G29" s="398"/>
      <c r="H29" s="398"/>
      <c r="I29" s="398"/>
      <c r="J29" s="398"/>
      <c r="K29" s="398"/>
      <c r="L29" s="398"/>
      <c r="M29" s="398"/>
    </row>
    <row r="30" spans="1:13">
      <c r="A30" s="398"/>
      <c r="B30" s="441"/>
      <c r="C30" s="441"/>
      <c r="D30" s="441"/>
      <c r="E30" s="453"/>
      <c r="F30" s="445"/>
      <c r="G30" s="398"/>
      <c r="H30" s="398"/>
      <c r="I30" s="398"/>
      <c r="J30" s="398"/>
      <c r="K30" s="398"/>
      <c r="L30" s="398"/>
      <c r="M30" s="398"/>
    </row>
    <row r="31" spans="1:13">
      <c r="A31" s="398"/>
      <c r="B31" s="398"/>
      <c r="C31" s="398"/>
      <c r="D31" s="398"/>
      <c r="E31" s="398"/>
      <c r="F31" s="398"/>
      <c r="G31" s="398"/>
      <c r="H31" s="398"/>
      <c r="I31" s="398"/>
      <c r="J31" s="398"/>
      <c r="K31" s="398"/>
      <c r="L31" s="398"/>
      <c r="M31" s="398"/>
    </row>
  </sheetData>
  <mergeCells count="1">
    <mergeCell ref="G6:I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81D44-6DCE-324F-8296-97408D480977}">
  <sheetPr codeName="Sheet15">
    <tabColor theme="7"/>
    <pageSetUpPr fitToPage="1"/>
  </sheetPr>
  <dimension ref="B2:D39"/>
  <sheetViews>
    <sheetView tabSelected="1" zoomScale="90" zoomScaleNormal="90" workbookViewId="0">
      <selection activeCell="C13" sqref="C13"/>
    </sheetView>
  </sheetViews>
  <sheetFormatPr defaultColWidth="9.08203125" defaultRowHeight="20"/>
  <cols>
    <col min="1" max="1" width="14.08203125" style="454" customWidth="1"/>
    <col min="2" max="2" width="141.83203125" style="454" customWidth="1"/>
    <col min="3" max="3" width="20.83203125" style="454" customWidth="1"/>
    <col min="4" max="4" width="17" style="454" customWidth="1"/>
    <col min="5" max="16384" width="9.08203125" style="454"/>
  </cols>
  <sheetData>
    <row r="2" spans="2:4" ht="18" customHeight="1"/>
    <row r="3" spans="2:4" ht="60" customHeight="1">
      <c r="B3" s="887" t="s">
        <v>618</v>
      </c>
      <c r="C3" s="887"/>
      <c r="D3" s="887"/>
    </row>
    <row r="4" spans="2:4" ht="20.149999999999999" customHeight="1">
      <c r="B4" s="888"/>
      <c r="C4" s="888"/>
      <c r="D4" s="888"/>
    </row>
    <row r="5" spans="2:4">
      <c r="B5" s="762" t="s">
        <v>254</v>
      </c>
      <c r="C5" s="766">
        <v>32</v>
      </c>
    </row>
    <row r="6" spans="2:4">
      <c r="B6" s="762" t="s">
        <v>314</v>
      </c>
      <c r="C6" s="767">
        <f>'Exchange Rate data'!D5</f>
        <v>0.63464399999999999</v>
      </c>
    </row>
    <row r="7" spans="2:4">
      <c r="B7" s="457" t="s">
        <v>255</v>
      </c>
      <c r="C7" s="458">
        <f>C5*C6</f>
        <v>20.308608</v>
      </c>
      <c r="D7" s="465" t="s">
        <v>340</v>
      </c>
    </row>
    <row r="8" spans="2:4">
      <c r="B8" s="1048" t="s">
        <v>1024</v>
      </c>
      <c r="C8" s="466">
        <f>C7*0.1</f>
        <v>2.0308608000000001</v>
      </c>
      <c r="D8" s="454" t="s">
        <v>1026</v>
      </c>
    </row>
    <row r="9" spans="2:4" ht="23.25" customHeight="1">
      <c r="B9" s="770" t="s">
        <v>1025</v>
      </c>
      <c r="C9" s="769">
        <v>15</v>
      </c>
    </row>
    <row r="10" spans="2:4">
      <c r="B10" s="457" t="s">
        <v>315</v>
      </c>
      <c r="C10" s="466">
        <f>C7+C8+C9</f>
        <v>37.339468799999999</v>
      </c>
    </row>
    <row r="11" spans="2:4">
      <c r="B11" s="763" t="s">
        <v>316</v>
      </c>
      <c r="C11" s="771">
        <v>0.25</v>
      </c>
      <c r="D11" s="454" t="s">
        <v>317</v>
      </c>
    </row>
    <row r="12" spans="2:4">
      <c r="B12" s="478" t="s">
        <v>318</v>
      </c>
      <c r="C12" s="479">
        <f>(C10)/(1-C11)</f>
        <v>49.785958399999998</v>
      </c>
      <c r="D12" s="465" t="s">
        <v>341</v>
      </c>
    </row>
    <row r="13" spans="2:4">
      <c r="B13" s="763" t="s">
        <v>319</v>
      </c>
      <c r="C13" s="772">
        <v>6</v>
      </c>
    </row>
    <row r="14" spans="2:4">
      <c r="B14" s="763" t="s">
        <v>320</v>
      </c>
      <c r="C14" s="772">
        <v>2</v>
      </c>
    </row>
    <row r="15" spans="2:4">
      <c r="B15" s="478" t="s">
        <v>321</v>
      </c>
      <c r="C15" s="479">
        <f>C12+C13+C14</f>
        <v>57.785958399999998</v>
      </c>
    </row>
    <row r="16" spans="2:4">
      <c r="B16" s="763" t="s">
        <v>259</v>
      </c>
      <c r="C16" s="771">
        <v>0.3</v>
      </c>
    </row>
    <row r="17" spans="2:4">
      <c r="B17" s="457" t="s">
        <v>322</v>
      </c>
      <c r="C17" s="458">
        <f>C15/(1-C16)</f>
        <v>82.551369142857141</v>
      </c>
    </row>
    <row r="18" spans="2:4">
      <c r="B18" s="460" t="s">
        <v>323</v>
      </c>
      <c r="C18" s="467">
        <f>C17/12</f>
        <v>6.879280761904762</v>
      </c>
      <c r="D18" s="463"/>
    </row>
    <row r="19" spans="2:4">
      <c r="B19" s="794" t="s">
        <v>262</v>
      </c>
      <c r="C19" s="814">
        <v>0.35</v>
      </c>
    </row>
    <row r="20" spans="2:4" ht="20.5" thickBot="1">
      <c r="B20" s="796" t="s">
        <v>324</v>
      </c>
      <c r="C20" s="809">
        <f>C18/(1-C19)</f>
        <v>10.583508864468865</v>
      </c>
      <c r="D20" s="463"/>
    </row>
    <row r="21" spans="2:4" ht="15" customHeight="1">
      <c r="B21" s="889"/>
      <c r="C21" s="889"/>
      <c r="D21" s="890"/>
    </row>
    <row r="22" spans="2:4">
      <c r="B22" s="885" t="s">
        <v>270</v>
      </c>
      <c r="C22" s="885"/>
      <c r="D22" s="885"/>
    </row>
    <row r="23" spans="2:4">
      <c r="B23" s="457" t="s">
        <v>264</v>
      </c>
      <c r="C23" s="464"/>
      <c r="D23" s="464"/>
    </row>
    <row r="24" spans="2:4">
      <c r="B24" s="884" t="s">
        <v>325</v>
      </c>
      <c r="C24" s="884"/>
      <c r="D24" s="884"/>
    </row>
    <row r="25" spans="2:4">
      <c r="B25" s="457" t="s">
        <v>326</v>
      </c>
      <c r="C25" s="457"/>
      <c r="D25" s="457"/>
    </row>
    <row r="26" spans="2:4">
      <c r="B26" s="886" t="s">
        <v>327</v>
      </c>
      <c r="C26" s="886"/>
      <c r="D26" s="886"/>
    </row>
    <row r="27" spans="2:4">
      <c r="B27" s="457" t="s">
        <v>328</v>
      </c>
      <c r="C27" s="457"/>
      <c r="D27" s="457"/>
    </row>
    <row r="28" spans="2:4">
      <c r="B28" s="884" t="s">
        <v>329</v>
      </c>
      <c r="C28" s="884"/>
      <c r="D28" s="884"/>
    </row>
    <row r="29" spans="2:4">
      <c r="B29" s="457" t="s">
        <v>330</v>
      </c>
      <c r="C29" s="457"/>
      <c r="D29" s="457"/>
    </row>
    <row r="30" spans="2:4" ht="19.5" customHeight="1">
      <c r="B30" s="884"/>
      <c r="C30" s="884"/>
      <c r="D30" s="884"/>
    </row>
    <row r="31" spans="2:4" ht="15" customHeight="1">
      <c r="B31" s="457"/>
      <c r="C31" s="457"/>
      <c r="D31" s="457"/>
    </row>
    <row r="32" spans="2:4">
      <c r="B32" s="885" t="s">
        <v>342</v>
      </c>
      <c r="C32" s="885"/>
      <c r="D32" s="885"/>
    </row>
    <row r="33" spans="2:4">
      <c r="B33" s="884" t="s">
        <v>331</v>
      </c>
      <c r="C33" s="884"/>
      <c r="D33" s="884"/>
    </row>
    <row r="34" spans="2:4">
      <c r="B34" s="884" t="s">
        <v>332</v>
      </c>
      <c r="C34" s="884"/>
      <c r="D34" s="884"/>
    </row>
    <row r="35" spans="2:4" ht="15" customHeight="1">
      <c r="B35" s="882"/>
      <c r="C35" s="882"/>
      <c r="D35" s="882"/>
    </row>
    <row r="36" spans="2:4" ht="15" customHeight="1">
      <c r="B36" s="882"/>
      <c r="C36" s="882"/>
      <c r="D36" s="882"/>
    </row>
    <row r="37" spans="2:4" ht="20.149999999999999" customHeight="1">
      <c r="B37" s="883" t="s">
        <v>266</v>
      </c>
      <c r="C37" s="883"/>
      <c r="D37" s="883"/>
    </row>
    <row r="38" spans="2:4" ht="17.149999999999999" customHeight="1">
      <c r="B38" s="883" t="s">
        <v>267</v>
      </c>
      <c r="C38" s="883"/>
      <c r="D38" s="883"/>
    </row>
    <row r="39" spans="2:4">
      <c r="B39" s="454" t="s">
        <v>268</v>
      </c>
    </row>
  </sheetData>
  <mergeCells count="15">
    <mergeCell ref="B26:D26"/>
    <mergeCell ref="B3:D3"/>
    <mergeCell ref="B4:D4"/>
    <mergeCell ref="B21:D21"/>
    <mergeCell ref="B22:D22"/>
    <mergeCell ref="B24:D24"/>
    <mergeCell ref="B36:D36"/>
    <mergeCell ref="B37:D37"/>
    <mergeCell ref="B38:D38"/>
    <mergeCell ref="B28:D28"/>
    <mergeCell ref="B30:D30"/>
    <mergeCell ref="B32:D32"/>
    <mergeCell ref="B33:D33"/>
    <mergeCell ref="B34:D34"/>
    <mergeCell ref="B35:D35"/>
  </mergeCells>
  <printOptions horizontalCentered="1"/>
  <pageMargins left="0.74803149606299213" right="0.74803149606299213" top="0.98425196850393704" bottom="0.98425196850393704" header="0.51181102362204722" footer="0.51181102362204722"/>
  <pageSetup paperSize="9" scale="48" orientation="landscape" r:id="rId1"/>
  <headerFooter alignWithMargins="0"/>
  <ignoredErrors>
    <ignoredError sqref="C6"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AAE17-D3AA-E940-A46B-5ABBAF600C51}">
  <sheetPr codeName="Sheet14">
    <tabColor theme="7"/>
  </sheetPr>
  <dimension ref="B2:H53"/>
  <sheetViews>
    <sheetView topLeftCell="A2" workbookViewId="0"/>
  </sheetViews>
  <sheetFormatPr defaultColWidth="9.08203125" defaultRowHeight="20"/>
  <cols>
    <col min="1" max="1" width="14.33203125" style="454" customWidth="1"/>
    <col min="2" max="2" width="126.58203125" style="454" bestFit="1" customWidth="1"/>
    <col min="3" max="3" width="20.83203125" style="454" customWidth="1"/>
    <col min="4" max="4" width="64.5" style="454" bestFit="1" customWidth="1"/>
    <col min="5" max="6" width="9.08203125" style="454"/>
    <col min="7" max="7" width="25.58203125" style="823" bestFit="1" customWidth="1"/>
    <col min="8" max="16384" width="9.08203125" style="454"/>
  </cols>
  <sheetData>
    <row r="2" spans="2:8" ht="18" customHeight="1"/>
    <row r="3" spans="2:8" ht="60" customHeight="1">
      <c r="B3" s="887" t="s">
        <v>617</v>
      </c>
      <c r="C3" s="887"/>
      <c r="D3" s="887"/>
    </row>
    <row r="4" spans="2:8" ht="20.149999999999999" customHeight="1">
      <c r="B4" s="888"/>
      <c r="C4" s="888"/>
      <c r="D4" s="888"/>
      <c r="F4" s="820"/>
      <c r="G4" s="824"/>
    </row>
    <row r="5" spans="2:8">
      <c r="B5" s="464" t="s">
        <v>254</v>
      </c>
      <c r="C5" s="468">
        <v>90</v>
      </c>
      <c r="D5" s="465" t="s">
        <v>334</v>
      </c>
      <c r="E5" s="819"/>
      <c r="F5" s="826" t="s">
        <v>999</v>
      </c>
      <c r="G5" s="827" t="s">
        <v>1000</v>
      </c>
      <c r="H5" s="553"/>
    </row>
    <row r="6" spans="2:8">
      <c r="B6" s="464" t="s">
        <v>302</v>
      </c>
      <c r="C6" s="469">
        <f>'Exchange Rate data'!D7</f>
        <v>0.481236</v>
      </c>
      <c r="E6" s="819"/>
      <c r="F6" s="826"/>
      <c r="G6" s="827" t="s">
        <v>1001</v>
      </c>
      <c r="H6" s="553"/>
    </row>
    <row r="7" spans="2:8">
      <c r="B7" s="457" t="s">
        <v>303</v>
      </c>
      <c r="C7" s="470">
        <f>C5*C6</f>
        <v>43.311239999999998</v>
      </c>
      <c r="E7" s="819"/>
      <c r="F7" s="822">
        <v>8.5000000000000006E-2</v>
      </c>
      <c r="G7" s="828">
        <v>1.88</v>
      </c>
      <c r="H7" s="553"/>
    </row>
    <row r="8" spans="2:8" ht="24" customHeight="1">
      <c r="B8" s="471" t="s">
        <v>304</v>
      </c>
      <c r="C8" s="472">
        <v>7</v>
      </c>
      <c r="E8" s="819"/>
      <c r="F8" s="822">
        <v>0.09</v>
      </c>
      <c r="G8" s="828">
        <v>1.99</v>
      </c>
      <c r="H8" s="553"/>
    </row>
    <row r="9" spans="2:8">
      <c r="B9" s="459" t="s">
        <v>658</v>
      </c>
      <c r="C9" s="470">
        <v>0</v>
      </c>
      <c r="D9" s="454" t="s">
        <v>778</v>
      </c>
      <c r="E9" s="819"/>
      <c r="F9" s="822">
        <v>9.5000000000000001E-2</v>
      </c>
      <c r="G9" s="828">
        <v>2.1</v>
      </c>
      <c r="H9" s="553"/>
    </row>
    <row r="10" spans="2:8">
      <c r="B10" s="781" t="s">
        <v>784</v>
      </c>
      <c r="C10" s="782">
        <v>0.13</v>
      </c>
      <c r="E10" s="819"/>
      <c r="F10" s="822">
        <v>0.1</v>
      </c>
      <c r="G10" s="828">
        <v>2.21</v>
      </c>
      <c r="H10" s="553"/>
    </row>
    <row r="11" spans="2:8">
      <c r="B11" s="459" t="s">
        <v>1002</v>
      </c>
      <c r="C11" s="470">
        <f>VLOOKUP(C10,F:G,2,FALSE)</f>
        <v>2.88</v>
      </c>
      <c r="D11" s="454" t="s">
        <v>1003</v>
      </c>
      <c r="E11" s="819"/>
      <c r="F11" s="822">
        <v>0.105</v>
      </c>
      <c r="G11" s="828">
        <v>2.3199999999999998</v>
      </c>
      <c r="H11" s="553"/>
    </row>
    <row r="12" spans="2:8">
      <c r="B12" s="459" t="s">
        <v>950</v>
      </c>
      <c r="C12" s="470">
        <f>12*C11</f>
        <v>34.56</v>
      </c>
      <c r="E12" s="819"/>
      <c r="F12" s="822">
        <v>0.11</v>
      </c>
      <c r="G12" s="828">
        <v>2.4300000000000002</v>
      </c>
      <c r="H12" s="553"/>
    </row>
    <row r="13" spans="2:8">
      <c r="B13" s="457" t="s">
        <v>305</v>
      </c>
      <c r="C13" s="470">
        <f>SUM(C7:C9,C12)</f>
        <v>84.87124</v>
      </c>
      <c r="E13" s="819"/>
      <c r="F13" s="822">
        <v>0.111</v>
      </c>
      <c r="G13" s="828">
        <v>2.4500000000000002</v>
      </c>
      <c r="H13" s="553"/>
    </row>
    <row r="14" spans="2:8">
      <c r="B14" s="473" t="s">
        <v>259</v>
      </c>
      <c r="C14" s="474">
        <v>0.2</v>
      </c>
      <c r="E14" s="819"/>
      <c r="F14" s="822">
        <v>0.112</v>
      </c>
      <c r="G14" s="828">
        <v>2.48</v>
      </c>
      <c r="H14" s="553"/>
    </row>
    <row r="15" spans="2:8">
      <c r="B15" s="457" t="s">
        <v>306</v>
      </c>
      <c r="C15" s="470">
        <f>C13/(1-C14)</f>
        <v>106.08905</v>
      </c>
      <c r="D15" s="465" t="s">
        <v>335</v>
      </c>
      <c r="E15" s="819"/>
      <c r="F15" s="822">
        <v>0.113</v>
      </c>
      <c r="G15" s="828">
        <v>2.5</v>
      </c>
      <c r="H15" s="553"/>
    </row>
    <row r="16" spans="2:8">
      <c r="B16" s="460" t="s">
        <v>307</v>
      </c>
      <c r="C16" s="475">
        <f>C15/12</f>
        <v>8.8407541666666667</v>
      </c>
      <c r="E16" s="819"/>
      <c r="F16" s="822">
        <v>0.114</v>
      </c>
      <c r="G16" s="828">
        <v>2.52</v>
      </c>
      <c r="H16" s="553"/>
    </row>
    <row r="17" spans="2:8">
      <c r="B17" s="476" t="s">
        <v>262</v>
      </c>
      <c r="C17" s="477">
        <v>0.35</v>
      </c>
      <c r="E17" s="819"/>
      <c r="F17" s="822">
        <v>0.115</v>
      </c>
      <c r="G17" s="828">
        <v>2.54</v>
      </c>
      <c r="H17" s="553"/>
    </row>
    <row r="18" spans="2:8">
      <c r="B18" s="798" t="s">
        <v>308</v>
      </c>
      <c r="C18" s="812">
        <f>C16/(1-C17)</f>
        <v>13.601160256410257</v>
      </c>
      <c r="E18" s="819"/>
      <c r="F18" s="822">
        <v>0.11600000000000001</v>
      </c>
      <c r="G18" s="828">
        <v>2.56</v>
      </c>
      <c r="H18" s="553"/>
    </row>
    <row r="19" spans="2:8" ht="20.5" thickBot="1">
      <c r="B19" s="796" t="s">
        <v>309</v>
      </c>
      <c r="C19" s="813">
        <f>C18*1.2</f>
        <v>16.321392307692307</v>
      </c>
      <c r="D19" s="462"/>
      <c r="E19" s="819"/>
      <c r="F19" s="822">
        <v>0.11700000000000001</v>
      </c>
      <c r="G19" s="828">
        <v>2.59</v>
      </c>
      <c r="H19" s="553"/>
    </row>
    <row r="20" spans="2:8" ht="15" customHeight="1">
      <c r="B20" s="889"/>
      <c r="C20" s="889"/>
      <c r="D20" s="890"/>
      <c r="E20" s="819"/>
      <c r="F20" s="822">
        <v>0.11799999999999999</v>
      </c>
      <c r="G20" s="828">
        <v>2.61</v>
      </c>
      <c r="H20" s="553"/>
    </row>
    <row r="21" spans="2:8">
      <c r="B21" s="891" t="s">
        <v>339</v>
      </c>
      <c r="C21" s="891"/>
      <c r="D21" s="891"/>
      <c r="E21" s="819"/>
      <c r="F21" s="822">
        <v>0.11899999999999999</v>
      </c>
      <c r="G21" s="828">
        <v>2.63</v>
      </c>
      <c r="H21" s="553"/>
    </row>
    <row r="22" spans="2:8">
      <c r="B22" s="457" t="s">
        <v>264</v>
      </c>
      <c r="C22" s="464"/>
      <c r="D22" s="464"/>
      <c r="E22" s="819"/>
      <c r="F22" s="822">
        <v>0.12</v>
      </c>
      <c r="G22" s="828">
        <v>2.65</v>
      </c>
      <c r="H22" s="553"/>
    </row>
    <row r="23" spans="2:8">
      <c r="B23" s="884" t="s">
        <v>310</v>
      </c>
      <c r="C23" s="884"/>
      <c r="D23" s="884"/>
      <c r="E23" s="819"/>
      <c r="F23" s="822">
        <v>0.121</v>
      </c>
      <c r="G23" s="828">
        <v>2.68</v>
      </c>
      <c r="H23" s="553"/>
    </row>
    <row r="24" spans="2:8">
      <c r="B24" s="884" t="s">
        <v>311</v>
      </c>
      <c r="C24" s="884"/>
      <c r="D24" s="884"/>
      <c r="E24" s="819"/>
      <c r="F24" s="822">
        <v>0.122</v>
      </c>
      <c r="G24" s="828">
        <v>2.7</v>
      </c>
      <c r="H24" s="553"/>
    </row>
    <row r="25" spans="2:8">
      <c r="B25" s="457" t="s">
        <v>312</v>
      </c>
      <c r="C25" s="457"/>
      <c r="D25" s="457"/>
      <c r="E25" s="819"/>
      <c r="F25" s="822">
        <v>0.123</v>
      </c>
      <c r="G25" s="828">
        <v>2.72</v>
      </c>
      <c r="H25" s="553"/>
    </row>
    <row r="26" spans="2:8">
      <c r="B26" s="884" t="s">
        <v>313</v>
      </c>
      <c r="C26" s="884"/>
      <c r="D26" s="884"/>
      <c r="E26" s="819"/>
      <c r="F26" s="822">
        <v>0.124</v>
      </c>
      <c r="G26" s="828">
        <v>2.74</v>
      </c>
      <c r="H26" s="553"/>
    </row>
    <row r="27" spans="2:8">
      <c r="B27" s="884" t="s">
        <v>681</v>
      </c>
      <c r="C27" s="884"/>
      <c r="D27" s="884"/>
      <c r="E27" s="819"/>
      <c r="F27" s="822">
        <v>0.125</v>
      </c>
      <c r="G27" s="828">
        <v>2.76</v>
      </c>
      <c r="H27" s="553"/>
    </row>
    <row r="28" spans="2:8" ht="19" customHeight="1">
      <c r="B28" s="457" t="s">
        <v>779</v>
      </c>
      <c r="C28" s="457"/>
      <c r="D28" s="457"/>
      <c r="E28" s="819"/>
      <c r="F28" s="822">
        <v>0.126</v>
      </c>
      <c r="G28" s="828">
        <v>2.79</v>
      </c>
      <c r="H28" s="553"/>
    </row>
    <row r="29" spans="2:8" ht="19" customHeight="1">
      <c r="B29" s="891"/>
      <c r="C29" s="891"/>
      <c r="D29" s="891"/>
      <c r="E29" s="819"/>
      <c r="F29" s="822">
        <v>0.127</v>
      </c>
      <c r="G29" s="828">
        <v>2.81</v>
      </c>
      <c r="H29" s="553"/>
    </row>
    <row r="30" spans="2:8" ht="15" customHeight="1">
      <c r="B30" s="883" t="s">
        <v>266</v>
      </c>
      <c r="C30" s="883"/>
      <c r="D30" s="883"/>
      <c r="E30" s="819"/>
      <c r="F30" s="822">
        <v>0.128</v>
      </c>
      <c r="G30" s="828">
        <v>2.83</v>
      </c>
      <c r="H30" s="553"/>
    </row>
    <row r="31" spans="2:8">
      <c r="B31" s="883" t="s">
        <v>267</v>
      </c>
      <c r="C31" s="883"/>
      <c r="D31" s="883"/>
      <c r="E31" s="819"/>
      <c r="F31" s="822">
        <v>0.129</v>
      </c>
      <c r="G31" s="828">
        <v>2.85</v>
      </c>
      <c r="H31" s="553"/>
    </row>
    <row r="32" spans="2:8">
      <c r="E32" s="819"/>
      <c r="F32" s="822">
        <v>0.13</v>
      </c>
      <c r="G32" s="828">
        <v>2.88</v>
      </c>
      <c r="H32" s="553"/>
    </row>
    <row r="33" spans="5:8">
      <c r="E33" s="819"/>
      <c r="F33" s="822">
        <v>0.13100000000000001</v>
      </c>
      <c r="G33" s="828">
        <v>2.9</v>
      </c>
      <c r="H33" s="553"/>
    </row>
    <row r="34" spans="5:8">
      <c r="E34" s="819"/>
      <c r="F34" s="822">
        <v>0.13200000000000001</v>
      </c>
      <c r="G34" s="828">
        <v>2.92</v>
      </c>
      <c r="H34" s="553"/>
    </row>
    <row r="35" spans="5:8">
      <c r="E35" s="819"/>
      <c r="F35" s="822">
        <v>0.13300000000000001</v>
      </c>
      <c r="G35" s="828">
        <v>2.94</v>
      </c>
      <c r="H35" s="553"/>
    </row>
    <row r="36" spans="5:8">
      <c r="E36" s="819"/>
      <c r="F36" s="822">
        <v>0.13400000000000001</v>
      </c>
      <c r="G36" s="828">
        <v>2.96</v>
      </c>
      <c r="H36" s="553"/>
    </row>
    <row r="37" spans="5:8">
      <c r="E37" s="819"/>
      <c r="F37" s="822">
        <v>0.13500000000000001</v>
      </c>
      <c r="G37" s="828">
        <v>2.99</v>
      </c>
      <c r="H37" s="553"/>
    </row>
    <row r="38" spans="5:8">
      <c r="E38" s="819"/>
      <c r="F38" s="822">
        <v>0.13600000000000001</v>
      </c>
      <c r="G38" s="828">
        <v>3.01</v>
      </c>
      <c r="H38" s="553"/>
    </row>
    <row r="39" spans="5:8">
      <c r="E39" s="819"/>
      <c r="F39" s="822">
        <v>0.13700000000000001</v>
      </c>
      <c r="G39" s="828">
        <v>3.03</v>
      </c>
      <c r="H39" s="553"/>
    </row>
    <row r="40" spans="5:8">
      <c r="E40" s="819"/>
      <c r="F40" s="822">
        <v>0.13800000000000001</v>
      </c>
      <c r="G40" s="828">
        <v>3.05</v>
      </c>
      <c r="H40" s="553"/>
    </row>
    <row r="41" spans="5:8">
      <c r="E41" s="819"/>
      <c r="F41" s="822">
        <v>0.13900000000000001</v>
      </c>
      <c r="G41" s="828">
        <v>3.07</v>
      </c>
      <c r="H41" s="553"/>
    </row>
    <row r="42" spans="5:8">
      <c r="E42" s="819"/>
      <c r="F42" s="822">
        <v>0.14000000000000001</v>
      </c>
      <c r="G42" s="828">
        <v>3.1</v>
      </c>
      <c r="H42" s="553"/>
    </row>
    <row r="43" spans="5:8">
      <c r="E43" s="819"/>
      <c r="F43" s="822">
        <v>0.14099999999999999</v>
      </c>
      <c r="G43" s="828">
        <v>3.12</v>
      </c>
      <c r="H43" s="553"/>
    </row>
    <row r="44" spans="5:8">
      <c r="E44" s="819"/>
      <c r="F44" s="822">
        <v>0.14199999999999999</v>
      </c>
      <c r="G44" s="828">
        <v>3.14</v>
      </c>
      <c r="H44" s="553"/>
    </row>
    <row r="45" spans="5:8">
      <c r="E45" s="819"/>
      <c r="F45" s="822">
        <v>0.14299999999999999</v>
      </c>
      <c r="G45" s="828">
        <v>3.16</v>
      </c>
      <c r="H45" s="553"/>
    </row>
    <row r="46" spans="5:8">
      <c r="E46" s="819"/>
      <c r="F46" s="822">
        <v>0.14399999999999999</v>
      </c>
      <c r="G46" s="828">
        <v>3.19</v>
      </c>
      <c r="H46" s="553"/>
    </row>
    <row r="47" spans="5:8">
      <c r="E47" s="819"/>
      <c r="F47" s="822">
        <v>0.14499999999999999</v>
      </c>
      <c r="G47" s="828">
        <v>3.21</v>
      </c>
      <c r="H47" s="553"/>
    </row>
    <row r="48" spans="5:8">
      <c r="E48" s="819"/>
      <c r="F48" s="822">
        <v>0.14599999999999999</v>
      </c>
      <c r="G48" s="828">
        <v>3.23</v>
      </c>
      <c r="H48" s="553"/>
    </row>
    <row r="49" spans="5:8">
      <c r="E49" s="819"/>
      <c r="F49" s="822">
        <v>0.14699999999999999</v>
      </c>
      <c r="G49" s="828">
        <v>3.25</v>
      </c>
      <c r="H49" s="553"/>
    </row>
    <row r="50" spans="5:8">
      <c r="E50" s="819"/>
      <c r="F50" s="822">
        <v>0.14799999999999999</v>
      </c>
      <c r="G50" s="828">
        <v>3.27</v>
      </c>
      <c r="H50" s="553"/>
    </row>
    <row r="51" spans="5:8">
      <c r="E51" s="819"/>
      <c r="F51" s="822">
        <v>0.14899999999999999</v>
      </c>
      <c r="G51" s="828">
        <v>3.3</v>
      </c>
      <c r="H51" s="553"/>
    </row>
    <row r="52" spans="5:8">
      <c r="E52" s="819"/>
      <c r="F52" s="822">
        <v>0.15</v>
      </c>
      <c r="G52" s="828">
        <v>3.32</v>
      </c>
      <c r="H52" s="553"/>
    </row>
    <row r="53" spans="5:8">
      <c r="E53" s="819"/>
      <c r="F53" s="821"/>
      <c r="G53" s="825"/>
      <c r="H53" s="553"/>
    </row>
  </sheetData>
  <mergeCells count="11">
    <mergeCell ref="B24:D24"/>
    <mergeCell ref="B3:D3"/>
    <mergeCell ref="B4:D4"/>
    <mergeCell ref="B20:D20"/>
    <mergeCell ref="B21:D21"/>
    <mergeCell ref="B23:D23"/>
    <mergeCell ref="B26:D26"/>
    <mergeCell ref="B27:D27"/>
    <mergeCell ref="B29:D29"/>
    <mergeCell ref="B30:D30"/>
    <mergeCell ref="B31:D31"/>
  </mergeCells>
  <dataValidations count="1">
    <dataValidation type="list" allowBlank="1" showInputMessage="1" showErrorMessage="1" sqref="C10" xr:uid="{FB4D8891-962B-4E45-B122-072A59DF97E1}">
      <formula1>$F$7:$F$52</formula1>
    </dataValidation>
  </dataValidations>
  <pageMargins left="0.7" right="0.7" top="0.75" bottom="0.75" header="0.3" footer="0.3"/>
  <ignoredErrors>
    <ignoredError sqref="C6" unlockedFormula="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DAEE-DFC2-4266-AB2C-5BFF656E111A}">
  <sheetPr>
    <tabColor theme="7"/>
  </sheetPr>
  <dimension ref="B2:D30"/>
  <sheetViews>
    <sheetView workbookViewId="0">
      <selection activeCell="C11" sqref="C11"/>
    </sheetView>
  </sheetViews>
  <sheetFormatPr defaultColWidth="9.08203125" defaultRowHeight="20"/>
  <cols>
    <col min="1" max="1" width="14.33203125" style="454" customWidth="1"/>
    <col min="2" max="2" width="126.58203125" style="454" bestFit="1" customWidth="1"/>
    <col min="3" max="3" width="20.83203125" style="454" customWidth="1"/>
    <col min="4" max="4" width="64.5" style="454" bestFit="1" customWidth="1"/>
    <col min="5" max="16384" width="9.08203125" style="454"/>
  </cols>
  <sheetData>
    <row r="2" spans="2:4" ht="18" customHeight="1"/>
    <row r="3" spans="2:4" ht="60" customHeight="1">
      <c r="B3" s="887" t="s">
        <v>763</v>
      </c>
      <c r="C3" s="887"/>
      <c r="D3" s="887"/>
    </row>
    <row r="4" spans="2:4" ht="20.149999999999999" customHeight="1">
      <c r="B4" s="569" t="s">
        <v>710</v>
      </c>
      <c r="C4" s="569" t="s">
        <v>745</v>
      </c>
      <c r="D4" s="892" t="s">
        <v>780</v>
      </c>
    </row>
    <row r="5" spans="2:4" ht="20.149999999999999" customHeight="1">
      <c r="B5" s="558"/>
      <c r="C5" s="558"/>
      <c r="D5" s="893"/>
    </row>
    <row r="6" spans="2:4">
      <c r="B6" s="464" t="s">
        <v>254</v>
      </c>
      <c r="C6" s="468">
        <v>64</v>
      </c>
      <c r="D6" s="465" t="s">
        <v>334</v>
      </c>
    </row>
    <row r="7" spans="2:4">
      <c r="B7" s="464" t="s">
        <v>700</v>
      </c>
      <c r="C7" s="469">
        <f>'Exchange Rate data'!D6</f>
        <v>0.57260500000000003</v>
      </c>
    </row>
    <row r="8" spans="2:4">
      <c r="B8" s="457" t="s">
        <v>701</v>
      </c>
      <c r="C8" s="555">
        <f>C6*C7</f>
        <v>36.646720000000002</v>
      </c>
    </row>
    <row r="9" spans="2:4" ht="40">
      <c r="B9" s="471" t="s">
        <v>702</v>
      </c>
      <c r="C9" s="556">
        <v>10</v>
      </c>
    </row>
    <row r="10" spans="2:4">
      <c r="B10" s="459" t="s">
        <v>703</v>
      </c>
      <c r="C10" s="555">
        <v>1.39</v>
      </c>
    </row>
    <row r="11" spans="2:4">
      <c r="B11" s="459" t="s">
        <v>704</v>
      </c>
      <c r="C11" s="555">
        <f>(VLOOKUP(C4,'EU rates'!B:I,6,FALSE)/100)*9</f>
        <v>0</v>
      </c>
    </row>
    <row r="12" spans="2:4">
      <c r="B12" s="457" t="s">
        <v>705</v>
      </c>
      <c r="C12" s="555">
        <f>SUM(C8:C11)</f>
        <v>48.036720000000003</v>
      </c>
    </row>
    <row r="13" spans="2:4">
      <c r="B13" s="473" t="s">
        <v>259</v>
      </c>
      <c r="C13" s="474">
        <v>0.2</v>
      </c>
    </row>
    <row r="14" spans="2:4">
      <c r="B14" s="457" t="s">
        <v>706</v>
      </c>
      <c r="C14" s="555">
        <f>C12/(1-C13)</f>
        <v>60.045900000000003</v>
      </c>
      <c r="D14" s="465" t="s">
        <v>335</v>
      </c>
    </row>
    <row r="15" spans="2:4">
      <c r="B15" s="460" t="s">
        <v>707</v>
      </c>
      <c r="C15" s="557">
        <f>C14/12</f>
        <v>5.003825</v>
      </c>
    </row>
    <row r="16" spans="2:4">
      <c r="B16" s="476" t="s">
        <v>262</v>
      </c>
      <c r="C16" s="477">
        <v>0.35</v>
      </c>
    </row>
    <row r="17" spans="2:4">
      <c r="B17" s="460" t="s">
        <v>708</v>
      </c>
      <c r="C17" s="557">
        <f>C15/(1-C16)</f>
        <v>7.6981923076923078</v>
      </c>
    </row>
    <row r="18" spans="2:4">
      <c r="B18" s="798" t="s">
        <v>765</v>
      </c>
      <c r="C18" s="810">
        <f>VLOOKUP(C4,'EU rates'!B:I,7,FALSE)/100</f>
        <v>0.2</v>
      </c>
    </row>
    <row r="19" spans="2:4" ht="20.5" thickBot="1">
      <c r="B19" s="796" t="s">
        <v>709</v>
      </c>
      <c r="C19" s="811">
        <f>C17*(1+C18)</f>
        <v>9.2378307692307686</v>
      </c>
      <c r="D19" s="462"/>
    </row>
    <row r="20" spans="2:4" ht="15" customHeight="1">
      <c r="B20" s="889"/>
      <c r="C20" s="889"/>
      <c r="D20" s="890"/>
    </row>
    <row r="21" spans="2:4">
      <c r="B21" s="891" t="s">
        <v>339</v>
      </c>
      <c r="C21" s="891"/>
      <c r="D21" s="891"/>
    </row>
    <row r="22" spans="2:4">
      <c r="B22" s="457" t="s">
        <v>264</v>
      </c>
      <c r="C22" s="464"/>
      <c r="D22" s="464"/>
    </row>
    <row r="23" spans="2:4">
      <c r="B23" s="884" t="s">
        <v>310</v>
      </c>
      <c r="C23" s="884"/>
      <c r="D23" s="884"/>
    </row>
    <row r="24" spans="2:4">
      <c r="B24" s="884" t="s">
        <v>311</v>
      </c>
      <c r="C24" s="884"/>
      <c r="D24" s="884"/>
    </row>
    <row r="25" spans="2:4">
      <c r="B25" s="457" t="s">
        <v>748</v>
      </c>
      <c r="C25" s="457"/>
      <c r="D25" s="457"/>
    </row>
    <row r="26" spans="2:4">
      <c r="B26" s="457" t="s">
        <v>312</v>
      </c>
      <c r="C26" s="457"/>
      <c r="D26" s="457"/>
    </row>
    <row r="27" spans="2:4" ht="19" customHeight="1">
      <c r="B27" s="884" t="s">
        <v>781</v>
      </c>
      <c r="C27" s="884"/>
      <c r="D27" s="884"/>
    </row>
    <row r="28" spans="2:4" ht="15" customHeight="1">
      <c r="B28" s="891"/>
      <c r="C28" s="891"/>
      <c r="D28" s="891"/>
    </row>
    <row r="29" spans="2:4">
      <c r="B29" s="883" t="s">
        <v>266</v>
      </c>
      <c r="C29" s="883"/>
      <c r="D29" s="883"/>
    </row>
    <row r="30" spans="2:4">
      <c r="B30" s="883" t="s">
        <v>267</v>
      </c>
      <c r="C30" s="883"/>
      <c r="D30" s="883"/>
    </row>
  </sheetData>
  <mergeCells count="10">
    <mergeCell ref="B27:D27"/>
    <mergeCell ref="B28:D28"/>
    <mergeCell ref="B29:D29"/>
    <mergeCell ref="B30:D30"/>
    <mergeCell ref="B24:D24"/>
    <mergeCell ref="B3:D3"/>
    <mergeCell ref="B20:D20"/>
    <mergeCell ref="B21:D21"/>
    <mergeCell ref="B23:D23"/>
    <mergeCell ref="D4:D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D952E3A-3A8C-40A4-887A-12B0DDC4DCF5}">
          <x14:formula1>
            <xm:f>'EU rates'!$B$36:$B$54</xm:f>
          </x14:formula1>
          <xm:sqref>C4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8FB9A-CAF0-4D1B-9825-446840800540}">
  <sheetPr>
    <tabColor rgb="FFFFC000"/>
  </sheetPr>
  <dimension ref="B2:D31"/>
  <sheetViews>
    <sheetView topLeftCell="A3" workbookViewId="0">
      <selection activeCell="C9" sqref="C9"/>
    </sheetView>
  </sheetViews>
  <sheetFormatPr defaultColWidth="9.08203125" defaultRowHeight="20"/>
  <cols>
    <col min="1" max="1" width="14.33203125" style="454" customWidth="1"/>
    <col min="2" max="2" width="126.58203125" style="454" bestFit="1" customWidth="1"/>
    <col min="3" max="3" width="20.83203125" style="454" customWidth="1"/>
    <col min="4" max="4" width="64.5" style="454" bestFit="1" customWidth="1"/>
    <col min="5" max="16384" width="9.08203125" style="454"/>
  </cols>
  <sheetData>
    <row r="2" spans="2:4" ht="18" customHeight="1"/>
    <row r="3" spans="2:4" ht="60" customHeight="1">
      <c r="B3" s="887" t="s">
        <v>971</v>
      </c>
      <c r="C3" s="887"/>
      <c r="D3" s="887"/>
    </row>
    <row r="4" spans="2:4" ht="20.149999999999999" customHeight="1">
      <c r="B4" s="888"/>
      <c r="C4" s="888"/>
      <c r="D4" s="888"/>
    </row>
    <row r="5" spans="2:4">
      <c r="B5" s="464" t="s">
        <v>254</v>
      </c>
      <c r="C5" s="468">
        <v>45</v>
      </c>
      <c r="D5" s="465" t="s">
        <v>334</v>
      </c>
    </row>
    <row r="6" spans="2:4">
      <c r="B6" s="464" t="s">
        <v>972</v>
      </c>
      <c r="C6" s="469">
        <f>'Exchange Rate data'!D46</f>
        <v>1.0916619999999999</v>
      </c>
    </row>
    <row r="7" spans="2:4">
      <c r="B7" s="457" t="s">
        <v>973</v>
      </c>
      <c r="C7" s="759">
        <f>C5*C6</f>
        <v>49.124789999999997</v>
      </c>
    </row>
    <row r="8" spans="2:4" ht="22.5" customHeight="1">
      <c r="B8" s="770" t="s">
        <v>991</v>
      </c>
      <c r="C8" s="760">
        <v>10</v>
      </c>
    </row>
    <row r="9" spans="2:4">
      <c r="B9" s="459" t="s">
        <v>978</v>
      </c>
      <c r="C9" s="759">
        <v>0</v>
      </c>
    </row>
    <row r="10" spans="2:4">
      <c r="B10" s="459" t="s">
        <v>974</v>
      </c>
      <c r="C10" s="759">
        <f>3.3241*9</f>
        <v>29.916900000000002</v>
      </c>
    </row>
    <row r="11" spans="2:4">
      <c r="B11" s="761" t="s">
        <v>981</v>
      </c>
      <c r="C11" s="474">
        <v>0.13</v>
      </c>
    </row>
    <row r="12" spans="2:4">
      <c r="B12" s="459" t="s">
        <v>980</v>
      </c>
      <c r="C12" s="759">
        <f>(C11*9)*0.037291</f>
        <v>4.3630469999999998E-2</v>
      </c>
    </row>
    <row r="13" spans="2:4">
      <c r="B13" s="457" t="s">
        <v>975</v>
      </c>
      <c r="C13" s="759">
        <f>SUM(C7:C10,C12)</f>
        <v>89.085320469999999</v>
      </c>
    </row>
    <row r="14" spans="2:4">
      <c r="B14" s="473" t="s">
        <v>259</v>
      </c>
      <c r="C14" s="474">
        <v>0.2</v>
      </c>
    </row>
    <row r="15" spans="2:4">
      <c r="B15" s="457" t="s">
        <v>976</v>
      </c>
      <c r="C15" s="759">
        <f>C13/(1-C14)</f>
        <v>111.3566505875</v>
      </c>
      <c r="D15" s="465" t="s">
        <v>335</v>
      </c>
    </row>
    <row r="16" spans="2:4">
      <c r="B16" s="460" t="s">
        <v>977</v>
      </c>
      <c r="C16" s="759">
        <f>C15/12</f>
        <v>9.2797208822916666</v>
      </c>
    </row>
    <row r="17" spans="2:4">
      <c r="B17" s="476" t="s">
        <v>262</v>
      </c>
      <c r="C17" s="477">
        <v>0.3</v>
      </c>
    </row>
    <row r="18" spans="2:4">
      <c r="B18" s="798" t="s">
        <v>983</v>
      </c>
      <c r="C18" s="806">
        <f>C16/(1-C17)</f>
        <v>13.256744117559524</v>
      </c>
    </row>
    <row r="19" spans="2:4" ht="20.5" thickBot="1">
      <c r="B19" s="796" t="s">
        <v>984</v>
      </c>
      <c r="C19" s="807">
        <f>C18*1.15</f>
        <v>15.245255735193451</v>
      </c>
      <c r="D19" s="462"/>
    </row>
    <row r="20" spans="2:4" ht="15" customHeight="1">
      <c r="B20" s="889"/>
      <c r="C20" s="889"/>
      <c r="D20" s="890"/>
    </row>
    <row r="21" spans="2:4">
      <c r="B21" s="891" t="s">
        <v>339</v>
      </c>
      <c r="C21" s="891"/>
      <c r="D21" s="891"/>
    </row>
    <row r="22" spans="2:4">
      <c r="B22" s="457" t="s">
        <v>264</v>
      </c>
      <c r="C22" s="464"/>
      <c r="D22" s="464"/>
    </row>
    <row r="23" spans="2:4">
      <c r="B23" s="884" t="s">
        <v>310</v>
      </c>
      <c r="C23" s="884"/>
      <c r="D23" s="884"/>
    </row>
    <row r="24" spans="2:4">
      <c r="B24" s="457" t="s">
        <v>992</v>
      </c>
      <c r="C24" s="457"/>
      <c r="D24" s="457"/>
    </row>
    <row r="25" spans="2:4">
      <c r="B25" s="457" t="s">
        <v>993</v>
      </c>
      <c r="C25" s="457"/>
      <c r="D25" s="457"/>
    </row>
    <row r="26" spans="2:4">
      <c r="B26" s="884" t="s">
        <v>979</v>
      </c>
      <c r="C26" s="884"/>
      <c r="D26" s="884"/>
    </row>
    <row r="27" spans="2:4" ht="19" customHeight="1">
      <c r="B27" s="884" t="s">
        <v>681</v>
      </c>
      <c r="C27" s="884"/>
      <c r="D27" s="884"/>
    </row>
    <row r="28" spans="2:4" ht="19" customHeight="1">
      <c r="B28" s="457" t="s">
        <v>982</v>
      </c>
      <c r="C28" s="457"/>
      <c r="D28" s="457"/>
    </row>
    <row r="29" spans="2:4" ht="15" customHeight="1">
      <c r="B29" s="891"/>
      <c r="C29" s="891"/>
      <c r="D29" s="891"/>
    </row>
    <row r="30" spans="2:4">
      <c r="B30" s="883" t="s">
        <v>955</v>
      </c>
      <c r="C30" s="883"/>
      <c r="D30" s="883"/>
    </row>
    <row r="31" spans="2:4">
      <c r="B31" s="883" t="s">
        <v>267</v>
      </c>
      <c r="C31" s="883"/>
      <c r="D31" s="883"/>
    </row>
  </sheetData>
  <mergeCells count="10">
    <mergeCell ref="B26:D26"/>
    <mergeCell ref="B27:D27"/>
    <mergeCell ref="B29:D29"/>
    <mergeCell ref="B30:D30"/>
    <mergeCell ref="B31:D31"/>
    <mergeCell ref="B3:D3"/>
    <mergeCell ref="B4:D4"/>
    <mergeCell ref="B20:D20"/>
    <mergeCell ref="B21:D21"/>
    <mergeCell ref="B23:D2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CD91C-A436-4542-9DB0-23A57165369F}">
  <sheetPr codeName="Sheet11">
    <tabColor theme="7"/>
    <pageSetUpPr fitToPage="1"/>
  </sheetPr>
  <dimension ref="B1:G36"/>
  <sheetViews>
    <sheetView zoomScale="90" zoomScaleNormal="90" workbookViewId="0">
      <selection activeCell="C12" sqref="C12"/>
    </sheetView>
  </sheetViews>
  <sheetFormatPr defaultColWidth="9.08203125" defaultRowHeight="20"/>
  <cols>
    <col min="1" max="1" width="18.83203125" style="454" customWidth="1"/>
    <col min="2" max="2" width="78.25" style="454" customWidth="1"/>
    <col min="3" max="3" width="20.83203125" style="454" customWidth="1"/>
    <col min="4" max="4" width="64.5" style="454" bestFit="1" customWidth="1"/>
    <col min="5" max="16384" width="9.08203125" style="454"/>
  </cols>
  <sheetData>
    <row r="1" spans="2:4" ht="18" customHeight="1">
      <c r="B1" s="455"/>
    </row>
    <row r="2" spans="2:4" ht="20.149999999999999" customHeight="1">
      <c r="B2" s="888"/>
      <c r="C2" s="888"/>
      <c r="D2" s="888"/>
    </row>
    <row r="3" spans="2:4" ht="68.150000000000006" customHeight="1">
      <c r="B3" s="887" t="s">
        <v>614</v>
      </c>
      <c r="C3" s="887"/>
      <c r="D3" s="887"/>
    </row>
    <row r="4" spans="2:4">
      <c r="B4" s="888"/>
      <c r="C4" s="888"/>
      <c r="D4" s="888"/>
    </row>
    <row r="5" spans="2:4">
      <c r="B5" s="757" t="s">
        <v>254</v>
      </c>
      <c r="C5" s="783">
        <v>100</v>
      </c>
      <c r="D5" s="456" t="s">
        <v>269</v>
      </c>
    </row>
    <row r="6" spans="2:4">
      <c r="B6" s="757" t="s">
        <v>602</v>
      </c>
      <c r="C6" s="792">
        <f>'Exchange Rate data'!D14</f>
        <v>4.6227070000000001</v>
      </c>
    </row>
    <row r="7" spans="2:4">
      <c r="B7" s="460" t="s">
        <v>603</v>
      </c>
      <c r="C7" s="461">
        <f>C5*C6</f>
        <v>462.27070000000003</v>
      </c>
      <c r="D7" s="490"/>
    </row>
    <row r="8" spans="2:4" ht="19.5" customHeight="1">
      <c r="B8" s="755" t="s">
        <v>604</v>
      </c>
      <c r="C8" s="775">
        <v>22</v>
      </c>
      <c r="D8" s="492"/>
    </row>
    <row r="9" spans="2:4">
      <c r="B9" s="493" t="s">
        <v>256</v>
      </c>
      <c r="C9" s="494">
        <f>C7+C8</f>
        <v>484.27070000000003</v>
      </c>
      <c r="D9" s="495"/>
    </row>
    <row r="10" spans="2:4">
      <c r="B10" s="493" t="s">
        <v>998</v>
      </c>
      <c r="C10" s="461">
        <f>C9*0</f>
        <v>0</v>
      </c>
    </row>
    <row r="11" spans="2:4">
      <c r="B11" s="493" t="s">
        <v>605</v>
      </c>
      <c r="C11" s="461">
        <f>(C9+C10)*13%</f>
        <v>62.955191000000006</v>
      </c>
      <c r="D11" s="496"/>
    </row>
    <row r="12" spans="2:4">
      <c r="B12" s="493" t="s">
        <v>257</v>
      </c>
      <c r="C12" s="461">
        <f>(C9+C10+C11)*10%</f>
        <v>54.722589100000008</v>
      </c>
      <c r="D12" s="492"/>
    </row>
    <row r="13" spans="2:4">
      <c r="B13" s="755" t="s">
        <v>258</v>
      </c>
      <c r="C13" s="793">
        <v>15</v>
      </c>
      <c r="D13" s="497"/>
    </row>
    <row r="14" spans="2:4">
      <c r="B14" s="460" t="s">
        <v>606</v>
      </c>
      <c r="C14" s="461">
        <f>SUM(C9:C13)</f>
        <v>616.9484801000001</v>
      </c>
    </row>
    <row r="15" spans="2:4">
      <c r="B15" s="754" t="s">
        <v>316</v>
      </c>
      <c r="C15" s="764">
        <v>0.3</v>
      </c>
      <c r="D15" s="497"/>
    </row>
    <row r="16" spans="2:4">
      <c r="B16" s="460" t="s">
        <v>607</v>
      </c>
      <c r="C16" s="461">
        <f>C14/(1-C15)</f>
        <v>881.35497157142879</v>
      </c>
    </row>
    <row r="17" spans="2:7">
      <c r="B17" s="460" t="s">
        <v>608</v>
      </c>
      <c r="C17" s="461">
        <f>C16/12</f>
        <v>73.446247630952399</v>
      </c>
    </row>
    <row r="18" spans="2:7">
      <c r="B18" s="754" t="s">
        <v>259</v>
      </c>
      <c r="C18" s="764">
        <v>0.35</v>
      </c>
      <c r="D18" s="497"/>
    </row>
    <row r="19" spans="2:7">
      <c r="B19" s="460" t="s">
        <v>260</v>
      </c>
      <c r="C19" s="461">
        <f>C16/(1-C18)</f>
        <v>1355.9307254945059</v>
      </c>
      <c r="D19" s="465"/>
    </row>
    <row r="20" spans="2:7" ht="24" customHeight="1">
      <c r="B20" s="460" t="s">
        <v>261</v>
      </c>
      <c r="C20" s="461">
        <f>C19/12</f>
        <v>112.99422712454215</v>
      </c>
      <c r="D20" s="462"/>
    </row>
    <row r="21" spans="2:7">
      <c r="B21" s="794" t="s">
        <v>262</v>
      </c>
      <c r="C21" s="795">
        <v>0.3</v>
      </c>
      <c r="D21" s="490"/>
    </row>
    <row r="22" spans="2:7" ht="20.5" thickBot="1">
      <c r="B22" s="796" t="s">
        <v>263</v>
      </c>
      <c r="C22" s="797">
        <f>C20/(1-C21)</f>
        <v>161.42032446363166</v>
      </c>
      <c r="D22" s="463"/>
    </row>
    <row r="23" spans="2:7">
      <c r="B23" s="889"/>
      <c r="C23" s="889"/>
      <c r="D23" s="890"/>
    </row>
    <row r="24" spans="2:7">
      <c r="B24" s="885" t="s">
        <v>270</v>
      </c>
      <c r="C24" s="885"/>
      <c r="D24" s="885"/>
    </row>
    <row r="25" spans="2:7">
      <c r="B25" s="457" t="s">
        <v>264</v>
      </c>
      <c r="C25" s="464"/>
      <c r="D25" s="464"/>
    </row>
    <row r="26" spans="2:7">
      <c r="B26" s="884" t="s">
        <v>265</v>
      </c>
      <c r="C26" s="884"/>
      <c r="D26" s="884"/>
    </row>
    <row r="27" spans="2:7">
      <c r="B27" s="894" t="s">
        <v>609</v>
      </c>
      <c r="C27" s="894"/>
      <c r="D27" s="894"/>
    </row>
    <row r="28" spans="2:7">
      <c r="B28" s="457" t="s">
        <v>610</v>
      </c>
      <c r="C28" s="457"/>
      <c r="D28" s="457"/>
    </row>
    <row r="29" spans="2:7">
      <c r="B29" s="457" t="s">
        <v>611</v>
      </c>
      <c r="C29" s="457"/>
      <c r="D29" s="457"/>
    </row>
    <row r="30" spans="2:7">
      <c r="B30" s="457" t="s">
        <v>612</v>
      </c>
      <c r="C30" s="457"/>
      <c r="D30" s="457"/>
    </row>
    <row r="31" spans="2:7">
      <c r="B31" s="894" t="s">
        <v>613</v>
      </c>
      <c r="C31" s="894"/>
      <c r="D31" s="894"/>
    </row>
    <row r="32" spans="2:7">
      <c r="B32" s="895" t="s">
        <v>681</v>
      </c>
      <c r="C32" s="896"/>
      <c r="D32" s="896"/>
      <c r="E32" s="896"/>
      <c r="F32" s="896"/>
      <c r="G32" s="897"/>
    </row>
    <row r="33" spans="2:4">
      <c r="B33" s="891"/>
      <c r="C33" s="891"/>
      <c r="D33" s="891"/>
    </row>
    <row r="34" spans="2:4">
      <c r="B34" s="883" t="s">
        <v>266</v>
      </c>
      <c r="C34" s="883"/>
      <c r="D34" s="883"/>
    </row>
    <row r="35" spans="2:4">
      <c r="B35" s="883" t="s">
        <v>267</v>
      </c>
      <c r="C35" s="883"/>
      <c r="D35" s="883"/>
    </row>
    <row r="36" spans="2:4">
      <c r="B36" s="454" t="s">
        <v>268</v>
      </c>
    </row>
  </sheetData>
  <mergeCells count="12">
    <mergeCell ref="B2:D2"/>
    <mergeCell ref="B23:D23"/>
    <mergeCell ref="B34:D34"/>
    <mergeCell ref="B35:D35"/>
    <mergeCell ref="B3:D3"/>
    <mergeCell ref="B4:D4"/>
    <mergeCell ref="B31:D31"/>
    <mergeCell ref="B33:D33"/>
    <mergeCell ref="B26:D26"/>
    <mergeCell ref="B27:D27"/>
    <mergeCell ref="B24:D24"/>
    <mergeCell ref="B32:G32"/>
  </mergeCells>
  <pageMargins left="0.7" right="0.7" top="0.75" bottom="0.75" header="0.3" footer="0.3"/>
  <pageSetup paperSize="9" scale="49" orientation="portrait" r:id="rId1"/>
  <ignoredErrors>
    <ignoredError sqref="C6"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EAE32-3E52-8742-B461-EB30015087E5}">
  <sheetPr codeName="Sheet12">
    <tabColor rgb="FFFFC000"/>
  </sheetPr>
  <dimension ref="B2:D31"/>
  <sheetViews>
    <sheetView zoomScaleNormal="100" workbookViewId="0">
      <selection activeCell="C13" sqref="C13"/>
    </sheetView>
  </sheetViews>
  <sheetFormatPr defaultColWidth="9.08203125" defaultRowHeight="20"/>
  <cols>
    <col min="1" max="1" width="22.58203125" style="454" customWidth="1"/>
    <col min="2" max="2" width="94.25" style="454" customWidth="1"/>
    <col min="3" max="3" width="20.83203125" style="454" customWidth="1"/>
    <col min="4" max="4" width="64.5" style="454" bestFit="1" customWidth="1"/>
    <col min="5" max="16384" width="9.08203125" style="454"/>
  </cols>
  <sheetData>
    <row r="2" spans="2:4" ht="18" customHeight="1">
      <c r="B2" s="455"/>
    </row>
    <row r="3" spans="2:4" ht="60" customHeight="1">
      <c r="B3" s="887" t="s">
        <v>615</v>
      </c>
      <c r="C3" s="887"/>
      <c r="D3" s="887"/>
    </row>
    <row r="4" spans="2:4" ht="20.149999999999999" customHeight="1">
      <c r="B4" s="888"/>
      <c r="C4" s="888"/>
      <c r="D4" s="888"/>
    </row>
    <row r="5" spans="2:4">
      <c r="B5" s="762" t="s">
        <v>254</v>
      </c>
      <c r="C5" s="766">
        <v>130</v>
      </c>
      <c r="D5" s="465" t="s">
        <v>334</v>
      </c>
    </row>
    <row r="6" spans="2:4">
      <c r="B6" s="762" t="s">
        <v>271</v>
      </c>
      <c r="C6" s="767">
        <f>'Exchange Rate data'!D30</f>
        <v>4.9360819999999999</v>
      </c>
    </row>
    <row r="7" spans="2:4">
      <c r="B7" s="457" t="s">
        <v>272</v>
      </c>
      <c r="C7" s="458">
        <f>C5*C6</f>
        <v>641.69065999999998</v>
      </c>
    </row>
    <row r="8" spans="2:4" ht="21" customHeight="1">
      <c r="B8" s="770" t="s">
        <v>273</v>
      </c>
      <c r="C8" s="769">
        <v>55</v>
      </c>
    </row>
    <row r="9" spans="2:4">
      <c r="B9" s="457" t="s">
        <v>274</v>
      </c>
      <c r="C9" s="466">
        <f>C7+C8</f>
        <v>696.69065999999998</v>
      </c>
    </row>
    <row r="10" spans="2:4">
      <c r="B10" s="763" t="s">
        <v>259</v>
      </c>
      <c r="C10" s="765">
        <v>0.45</v>
      </c>
      <c r="D10" s="454" t="s">
        <v>275</v>
      </c>
    </row>
    <row r="11" spans="2:4">
      <c r="B11" s="457" t="s">
        <v>276</v>
      </c>
      <c r="C11" s="458">
        <f>C9/(1-C10)</f>
        <v>1266.7102909090909</v>
      </c>
      <c r="D11" s="465" t="s">
        <v>335</v>
      </c>
    </row>
    <row r="12" spans="2:4">
      <c r="B12" s="460" t="s">
        <v>277</v>
      </c>
      <c r="C12" s="467">
        <f>C11/12</f>
        <v>105.5591909090909</v>
      </c>
    </row>
    <row r="13" spans="2:4">
      <c r="B13" s="794" t="s">
        <v>262</v>
      </c>
      <c r="C13" s="795">
        <v>0.375</v>
      </c>
    </row>
    <row r="14" spans="2:4" ht="20.5" thickBot="1">
      <c r="B14" s="796" t="s">
        <v>278</v>
      </c>
      <c r="C14" s="809">
        <f>C12/(1-C13)</f>
        <v>168.89470545454543</v>
      </c>
      <c r="D14" s="462"/>
    </row>
    <row r="15" spans="2:4" ht="15" customHeight="1">
      <c r="B15" s="889"/>
      <c r="C15" s="889"/>
      <c r="D15" s="890"/>
    </row>
    <row r="16" spans="2:4">
      <c r="B16" s="885" t="s">
        <v>270</v>
      </c>
      <c r="C16" s="885"/>
      <c r="D16" s="885"/>
    </row>
    <row r="17" spans="2:4">
      <c r="B17" s="457" t="s">
        <v>264</v>
      </c>
      <c r="C17" s="464"/>
      <c r="D17" s="464"/>
    </row>
    <row r="18" spans="2:4">
      <c r="B18" s="884" t="s">
        <v>279</v>
      </c>
      <c r="C18" s="884"/>
      <c r="D18" s="884"/>
    </row>
    <row r="19" spans="2:4">
      <c r="B19" s="884" t="s">
        <v>280</v>
      </c>
      <c r="C19" s="884"/>
      <c r="D19" s="884"/>
    </row>
    <row r="20" spans="2:4">
      <c r="B20" s="457" t="s">
        <v>281</v>
      </c>
      <c r="C20" s="457"/>
      <c r="D20" s="457"/>
    </row>
    <row r="21" spans="2:4">
      <c r="B21" s="884" t="s">
        <v>282</v>
      </c>
      <c r="C21" s="884"/>
      <c r="D21" s="884"/>
    </row>
    <row r="22" spans="2:4" ht="18" customHeight="1">
      <c r="B22" s="884" t="s">
        <v>681</v>
      </c>
      <c r="C22" s="884"/>
      <c r="D22" s="884"/>
    </row>
    <row r="23" spans="2:4" ht="15" customHeight="1">
      <c r="B23" s="457"/>
      <c r="C23" s="457"/>
      <c r="D23" s="457"/>
    </row>
    <row r="24" spans="2:4">
      <c r="B24" s="885" t="s">
        <v>336</v>
      </c>
      <c r="C24" s="885"/>
      <c r="D24" s="885"/>
    </row>
    <row r="25" spans="2:4">
      <c r="B25" s="884" t="s">
        <v>283</v>
      </c>
      <c r="C25" s="884"/>
      <c r="D25" s="884"/>
    </row>
    <row r="26" spans="2:4">
      <c r="B26" s="884" t="s">
        <v>284</v>
      </c>
      <c r="C26" s="884"/>
      <c r="D26" s="884"/>
    </row>
    <row r="27" spans="2:4" ht="15" customHeight="1">
      <c r="B27" s="882"/>
      <c r="C27" s="882"/>
      <c r="D27" s="882"/>
    </row>
    <row r="28" spans="2:4" ht="15" customHeight="1">
      <c r="B28" s="882"/>
      <c r="C28" s="882"/>
      <c r="D28" s="882"/>
    </row>
    <row r="29" spans="2:4">
      <c r="B29" s="883" t="s">
        <v>266</v>
      </c>
      <c r="C29" s="883"/>
      <c r="D29" s="883"/>
    </row>
    <row r="30" spans="2:4">
      <c r="B30" s="883" t="s">
        <v>267</v>
      </c>
      <c r="C30" s="883"/>
      <c r="D30" s="883"/>
    </row>
    <row r="31" spans="2:4">
      <c r="B31" s="454" t="s">
        <v>268</v>
      </c>
    </row>
  </sheetData>
  <mergeCells count="15">
    <mergeCell ref="B19:D19"/>
    <mergeCell ref="B3:D3"/>
    <mergeCell ref="B4:D4"/>
    <mergeCell ref="B15:D15"/>
    <mergeCell ref="B16:D16"/>
    <mergeCell ref="B18:D18"/>
    <mergeCell ref="B28:D28"/>
    <mergeCell ref="B29:D29"/>
    <mergeCell ref="B30:D30"/>
    <mergeCell ref="B21:D21"/>
    <mergeCell ref="B22:D22"/>
    <mergeCell ref="B24:D24"/>
    <mergeCell ref="B25:D25"/>
    <mergeCell ref="B26:D26"/>
    <mergeCell ref="B27:D2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0A60D-0555-014B-B4B3-C1A54E75CFA1}">
  <sheetPr codeName="Sheet13">
    <tabColor theme="7"/>
  </sheetPr>
  <dimension ref="B2:D36"/>
  <sheetViews>
    <sheetView topLeftCell="A3" workbookViewId="0">
      <selection activeCell="C10" sqref="C10"/>
    </sheetView>
  </sheetViews>
  <sheetFormatPr defaultColWidth="9.08203125" defaultRowHeight="20"/>
  <cols>
    <col min="1" max="1" width="16.83203125" style="454" customWidth="1"/>
    <col min="2" max="2" width="93.58203125" style="454" customWidth="1"/>
    <col min="3" max="3" width="20.83203125" style="454" customWidth="1"/>
    <col min="4" max="4" width="64.5" style="454" bestFit="1" customWidth="1"/>
    <col min="5" max="16384" width="9.08203125" style="454"/>
  </cols>
  <sheetData>
    <row r="2" spans="2:4" ht="18" customHeight="1">
      <c r="B2" s="455"/>
    </row>
    <row r="3" spans="2:4" ht="60" customHeight="1">
      <c r="B3" s="887" t="s">
        <v>616</v>
      </c>
      <c r="C3" s="887"/>
      <c r="D3" s="887"/>
    </row>
    <row r="4" spans="2:4" ht="20.149999999999999" customHeight="1">
      <c r="B4" s="888"/>
      <c r="C4" s="888"/>
      <c r="D4" s="888"/>
    </row>
    <row r="5" spans="2:4" ht="20.149999999999999" customHeight="1">
      <c r="B5" s="762" t="s">
        <v>254</v>
      </c>
      <c r="C5" s="766">
        <v>130</v>
      </c>
      <c r="D5" s="465" t="s">
        <v>334</v>
      </c>
    </row>
    <row r="6" spans="2:4">
      <c r="B6" s="762" t="s">
        <v>285</v>
      </c>
      <c r="C6" s="767">
        <f>'Exchange Rate data'!D10</f>
        <v>0.84768900000000003</v>
      </c>
    </row>
    <row r="7" spans="2:4">
      <c r="B7" s="762" t="s">
        <v>286</v>
      </c>
      <c r="C7" s="768">
        <v>0.13</v>
      </c>
    </row>
    <row r="8" spans="2:4">
      <c r="B8" s="457" t="s">
        <v>287</v>
      </c>
      <c r="C8" s="458">
        <f>C5*C6</f>
        <v>110.19957000000001</v>
      </c>
    </row>
    <row r="9" spans="2:4" ht="21" customHeight="1">
      <c r="B9" s="770" t="s">
        <v>288</v>
      </c>
      <c r="C9" s="769">
        <v>9.6</v>
      </c>
    </row>
    <row r="10" spans="2:4">
      <c r="B10" s="459" t="s">
        <v>289</v>
      </c>
      <c r="C10" s="466">
        <f>9*88*C7</f>
        <v>102.96000000000001</v>
      </c>
    </row>
    <row r="11" spans="2:4" ht="21" customHeight="1">
      <c r="B11" s="457" t="s">
        <v>290</v>
      </c>
      <c r="C11" s="466">
        <f>C8+C9+C10</f>
        <v>222.75957</v>
      </c>
    </row>
    <row r="12" spans="2:4">
      <c r="B12" s="763" t="s">
        <v>259</v>
      </c>
      <c r="C12" s="765">
        <v>0.25</v>
      </c>
    </row>
    <row r="13" spans="2:4">
      <c r="B13" s="457" t="s">
        <v>291</v>
      </c>
      <c r="C13" s="458">
        <f>C11/(1-C12)</f>
        <v>297.01276000000001</v>
      </c>
      <c r="D13" s="465" t="s">
        <v>335</v>
      </c>
    </row>
    <row r="14" spans="2:4">
      <c r="B14" s="460" t="s">
        <v>292</v>
      </c>
      <c r="C14" s="467">
        <f>C13/12</f>
        <v>24.751063333333335</v>
      </c>
    </row>
    <row r="15" spans="2:4">
      <c r="B15" s="754" t="s">
        <v>262</v>
      </c>
      <c r="C15" s="764">
        <v>0.3</v>
      </c>
    </row>
    <row r="16" spans="2:4">
      <c r="B16" s="798" t="s">
        <v>293</v>
      </c>
      <c r="C16" s="808">
        <f>C14/(1-C15)</f>
        <v>35.35866190476191</v>
      </c>
      <c r="D16" s="463"/>
    </row>
    <row r="17" spans="2:4" ht="20.5" thickBot="1">
      <c r="B17" s="796" t="s">
        <v>294</v>
      </c>
      <c r="C17" s="809">
        <f>C16*1.09</f>
        <v>38.540941476190483</v>
      </c>
      <c r="D17" s="465" t="s">
        <v>337</v>
      </c>
    </row>
    <row r="18" spans="2:4" ht="15" customHeight="1">
      <c r="B18" s="889"/>
      <c r="C18" s="889"/>
      <c r="D18" s="890"/>
    </row>
    <row r="19" spans="2:4">
      <c r="B19" s="885" t="s">
        <v>270</v>
      </c>
      <c r="C19" s="885"/>
      <c r="D19" s="885"/>
    </row>
    <row r="20" spans="2:4">
      <c r="B20" s="457" t="s">
        <v>264</v>
      </c>
      <c r="C20" s="464"/>
      <c r="D20" s="464"/>
    </row>
    <row r="21" spans="2:4">
      <c r="B21" s="884" t="s">
        <v>295</v>
      </c>
      <c r="C21" s="884"/>
      <c r="D21" s="884"/>
    </row>
    <row r="22" spans="2:4">
      <c r="B22" s="884" t="s">
        <v>296</v>
      </c>
      <c r="C22" s="884"/>
      <c r="D22" s="884"/>
    </row>
    <row r="23" spans="2:4">
      <c r="B23" s="884" t="s">
        <v>297</v>
      </c>
      <c r="C23" s="884"/>
      <c r="D23" s="884"/>
    </row>
    <row r="24" spans="2:4">
      <c r="B24" s="884" t="s">
        <v>298</v>
      </c>
      <c r="C24" s="884"/>
      <c r="D24" s="884"/>
    </row>
    <row r="25" spans="2:4">
      <c r="B25" s="884" t="s">
        <v>1022</v>
      </c>
      <c r="C25" s="884"/>
      <c r="D25" s="884"/>
    </row>
    <row r="26" spans="2:4">
      <c r="B26" s="457" t="s">
        <v>681</v>
      </c>
      <c r="C26" s="457"/>
      <c r="D26" s="457"/>
    </row>
    <row r="27" spans="2:4" ht="15" customHeight="1">
      <c r="B27" s="884"/>
      <c r="C27" s="884"/>
      <c r="D27" s="884"/>
    </row>
    <row r="28" spans="2:4">
      <c r="B28" s="891" t="s">
        <v>338</v>
      </c>
      <c r="C28" s="891"/>
      <c r="D28" s="891"/>
    </row>
    <row r="29" spans="2:4">
      <c r="B29" s="884" t="s">
        <v>299</v>
      </c>
      <c r="C29" s="884"/>
      <c r="D29" s="884"/>
    </row>
    <row r="30" spans="2:4">
      <c r="B30" s="884" t="s">
        <v>300</v>
      </c>
      <c r="C30" s="884"/>
      <c r="D30" s="884"/>
    </row>
    <row r="31" spans="2:4">
      <c r="B31" s="884" t="s">
        <v>301</v>
      </c>
      <c r="C31" s="884"/>
      <c r="D31" s="884"/>
    </row>
    <row r="32" spans="2:4" ht="15" customHeight="1">
      <c r="B32" s="882"/>
      <c r="C32" s="882"/>
      <c r="D32" s="882"/>
    </row>
    <row r="33" spans="2:4" ht="15" customHeight="1">
      <c r="B33" s="882"/>
      <c r="C33" s="882"/>
      <c r="D33" s="882"/>
    </row>
    <row r="34" spans="2:4">
      <c r="B34" s="883" t="s">
        <v>266</v>
      </c>
      <c r="C34" s="883"/>
      <c r="D34" s="883"/>
    </row>
    <row r="35" spans="2:4">
      <c r="B35" s="883" t="s">
        <v>267</v>
      </c>
      <c r="C35" s="883"/>
      <c r="D35" s="883"/>
    </row>
    <row r="36" spans="2:4">
      <c r="B36" s="454" t="s">
        <v>268</v>
      </c>
    </row>
  </sheetData>
  <mergeCells count="18">
    <mergeCell ref="B22:D22"/>
    <mergeCell ref="B3:D3"/>
    <mergeCell ref="B4:D4"/>
    <mergeCell ref="B18:D18"/>
    <mergeCell ref="B19:D19"/>
    <mergeCell ref="B21:D21"/>
    <mergeCell ref="B35:D35"/>
    <mergeCell ref="B23:D23"/>
    <mergeCell ref="B24:D24"/>
    <mergeCell ref="B25:D25"/>
    <mergeCell ref="B27:D27"/>
    <mergeCell ref="B28:D28"/>
    <mergeCell ref="B29:D29"/>
    <mergeCell ref="B30:D30"/>
    <mergeCell ref="B31:D31"/>
    <mergeCell ref="B32:D32"/>
    <mergeCell ref="B33:D33"/>
    <mergeCell ref="B34:D34"/>
  </mergeCells>
  <pageMargins left="0.7" right="0.7" top="0.75" bottom="0.75" header="0.3" footer="0.3"/>
  <ignoredErrors>
    <ignoredError sqref="C6" unlockedFormula="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D91B1-88B9-4EAF-8F6D-56214BCEB8E9}">
  <sheetPr>
    <tabColor theme="7"/>
    <pageSetUpPr fitToPage="1"/>
  </sheetPr>
  <dimension ref="B1:F33"/>
  <sheetViews>
    <sheetView topLeftCell="A9" zoomScale="90" zoomScaleNormal="90" workbookViewId="0">
      <selection activeCell="C13" sqref="C13"/>
    </sheetView>
  </sheetViews>
  <sheetFormatPr defaultColWidth="9.08203125" defaultRowHeight="20"/>
  <cols>
    <col min="1" max="1" width="21.58203125" style="454" customWidth="1"/>
    <col min="2" max="2" width="75.58203125" style="454" bestFit="1" customWidth="1"/>
    <col min="3" max="3" width="20.83203125" style="454" customWidth="1"/>
    <col min="4" max="4" width="64.5" style="454" bestFit="1" customWidth="1"/>
    <col min="5" max="10" width="9.08203125" style="454"/>
    <col min="11" max="11" width="13.08203125" style="454" bestFit="1" customWidth="1"/>
    <col min="12" max="16384" width="9.08203125" style="454"/>
  </cols>
  <sheetData>
    <row r="1" spans="2:4" ht="18" customHeight="1">
      <c r="B1" s="455"/>
    </row>
    <row r="2" spans="2:4" ht="20.149999999999999" customHeight="1">
      <c r="B2" s="888"/>
      <c r="C2" s="888"/>
      <c r="D2" s="888"/>
    </row>
    <row r="3" spans="2:4" ht="68.150000000000006" customHeight="1">
      <c r="B3" s="887" t="s">
        <v>657</v>
      </c>
      <c r="C3" s="887"/>
      <c r="D3" s="887"/>
    </row>
    <row r="4" spans="2:4">
      <c r="B4" s="888"/>
      <c r="C4" s="888"/>
      <c r="D4" s="888"/>
    </row>
    <row r="5" spans="2:4">
      <c r="B5" s="757" t="s">
        <v>254</v>
      </c>
      <c r="C5" s="773">
        <v>90</v>
      </c>
      <c r="D5" s="456" t="s">
        <v>269</v>
      </c>
    </row>
    <row r="6" spans="2:4">
      <c r="B6" s="757" t="s">
        <v>656</v>
      </c>
      <c r="C6" s="774">
        <f>'Exchange Rate data'!D13</f>
        <v>93.001467000000005</v>
      </c>
    </row>
    <row r="7" spans="2:4">
      <c r="B7" s="460" t="s">
        <v>643</v>
      </c>
      <c r="C7" s="461">
        <f>C5*C6</f>
        <v>8370.1320300000007</v>
      </c>
      <c r="D7" s="490"/>
    </row>
    <row r="8" spans="2:4" ht="21.75" customHeight="1">
      <c r="B8" s="755" t="s">
        <v>644</v>
      </c>
      <c r="C8" s="775">
        <v>200</v>
      </c>
      <c r="D8" s="492"/>
    </row>
    <row r="9" spans="2:4">
      <c r="B9" s="493" t="s">
        <v>645</v>
      </c>
      <c r="C9" s="494">
        <f>C7+C8</f>
        <v>8570.1320300000007</v>
      </c>
      <c r="D9" s="495"/>
    </row>
    <row r="10" spans="2:4">
      <c r="B10" s="493" t="s">
        <v>660</v>
      </c>
      <c r="C10" s="461">
        <v>0</v>
      </c>
      <c r="D10" s="454" t="s">
        <v>646</v>
      </c>
    </row>
    <row r="11" spans="2:4">
      <c r="B11" s="493" t="s">
        <v>647</v>
      </c>
      <c r="C11" s="461">
        <f>(100000/1000)*9</f>
        <v>900</v>
      </c>
      <c r="D11" s="496" t="s">
        <v>951</v>
      </c>
    </row>
    <row r="12" spans="2:4">
      <c r="B12" s="493" t="s">
        <v>648</v>
      </c>
      <c r="C12" s="461">
        <f>(C9+C10+C11)*10%</f>
        <v>947.01320300000009</v>
      </c>
      <c r="D12" s="545"/>
    </row>
    <row r="13" spans="2:4">
      <c r="B13" s="491" t="s">
        <v>649</v>
      </c>
      <c r="C13" s="461">
        <f>11.8*12</f>
        <v>141.60000000000002</v>
      </c>
      <c r="D13" s="497"/>
    </row>
    <row r="14" spans="2:4">
      <c r="B14" s="460" t="s">
        <v>650</v>
      </c>
      <c r="C14" s="461">
        <f>SUM(C9:C13)</f>
        <v>10558.745233000001</v>
      </c>
    </row>
    <row r="15" spans="2:4">
      <c r="B15" s="460" t="s">
        <v>651</v>
      </c>
      <c r="C15" s="461">
        <f>C14/12</f>
        <v>879.89543608333349</v>
      </c>
    </row>
    <row r="16" spans="2:4">
      <c r="B16" s="754" t="s">
        <v>259</v>
      </c>
      <c r="C16" s="764">
        <v>0.2</v>
      </c>
      <c r="D16" s="497"/>
    </row>
    <row r="17" spans="2:6">
      <c r="B17" s="460" t="s">
        <v>652</v>
      </c>
      <c r="C17" s="461">
        <f>C14/(1-C16)</f>
        <v>13198.431541250002</v>
      </c>
      <c r="D17" s="465"/>
    </row>
    <row r="18" spans="2:6" ht="24" customHeight="1">
      <c r="B18" s="460" t="s">
        <v>653</v>
      </c>
      <c r="C18" s="461">
        <f>C17/12</f>
        <v>1099.8692951041669</v>
      </c>
      <c r="D18" s="462"/>
    </row>
    <row r="19" spans="2:6">
      <c r="B19" s="794" t="s">
        <v>262</v>
      </c>
      <c r="C19" s="795">
        <v>0.3</v>
      </c>
      <c r="D19" s="490"/>
    </row>
    <row r="20" spans="2:6" ht="20.5" thickBot="1">
      <c r="B20" s="796" t="s">
        <v>654</v>
      </c>
      <c r="C20" s="797">
        <f>C18/(1-C19)</f>
        <v>1571.24185014881</v>
      </c>
      <c r="D20" s="463"/>
    </row>
    <row r="21" spans="2:6">
      <c r="B21" s="889"/>
      <c r="C21" s="889"/>
      <c r="D21" s="890"/>
    </row>
    <row r="22" spans="2:6">
      <c r="B22" s="885" t="s">
        <v>270</v>
      </c>
      <c r="C22" s="885"/>
      <c r="D22" s="885"/>
    </row>
    <row r="23" spans="2:6">
      <c r="B23" s="457" t="s">
        <v>264</v>
      </c>
      <c r="C23" s="464"/>
      <c r="D23" s="464"/>
    </row>
    <row r="24" spans="2:6">
      <c r="B24" s="884" t="s">
        <v>265</v>
      </c>
      <c r="C24" s="884"/>
      <c r="D24" s="884"/>
    </row>
    <row r="25" spans="2:6" ht="22.5" customHeight="1">
      <c r="B25" s="886" t="s">
        <v>659</v>
      </c>
      <c r="C25" s="886"/>
      <c r="D25" s="886"/>
    </row>
    <row r="26" spans="2:6" ht="21" customHeight="1">
      <c r="B26" s="457" t="s">
        <v>1023</v>
      </c>
      <c r="C26" s="459"/>
      <c r="D26" s="459"/>
    </row>
    <row r="27" spans="2:6" ht="23.15" customHeight="1">
      <c r="B27" s="454" t="s">
        <v>952</v>
      </c>
      <c r="C27" s="459"/>
      <c r="D27" s="459"/>
    </row>
    <row r="28" spans="2:6">
      <c r="B28" s="894" t="s">
        <v>655</v>
      </c>
      <c r="C28" s="894"/>
      <c r="D28" s="894"/>
    </row>
    <row r="29" spans="2:6">
      <c r="B29" s="550" t="s">
        <v>695</v>
      </c>
      <c r="C29" s="551"/>
      <c r="D29" s="551"/>
      <c r="E29" s="552"/>
      <c r="F29" s="553"/>
    </row>
    <row r="30" spans="2:6">
      <c r="B30" s="898" t="s">
        <v>681</v>
      </c>
      <c r="C30" s="899"/>
      <c r="D30" s="899"/>
      <c r="E30" s="899"/>
      <c r="F30" s="900"/>
    </row>
    <row r="31" spans="2:6">
      <c r="B31" s="891"/>
      <c r="C31" s="891"/>
      <c r="D31" s="891"/>
    </row>
    <row r="32" spans="2:6">
      <c r="B32" s="883" t="s">
        <v>266</v>
      </c>
      <c r="C32" s="883"/>
      <c r="D32" s="883"/>
    </row>
    <row r="33" spans="2:4">
      <c r="B33" s="883" t="s">
        <v>267</v>
      </c>
      <c r="C33" s="883"/>
      <c r="D33" s="883"/>
    </row>
  </sheetData>
  <mergeCells count="12">
    <mergeCell ref="B33:D33"/>
    <mergeCell ref="B2:D2"/>
    <mergeCell ref="B3:D3"/>
    <mergeCell ref="B4:D4"/>
    <mergeCell ref="B21:D21"/>
    <mergeCell ref="B22:D22"/>
    <mergeCell ref="B24:D24"/>
    <mergeCell ref="B25:D25"/>
    <mergeCell ref="B28:D28"/>
    <mergeCell ref="B31:D31"/>
    <mergeCell ref="B32:D32"/>
    <mergeCell ref="B30:F30"/>
  </mergeCells>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DC5B3-B0E0-3F4E-801E-EFF28F8357A2}">
  <sheetPr codeName="Sheet16">
    <tabColor theme="9"/>
  </sheetPr>
  <dimension ref="B1:K20"/>
  <sheetViews>
    <sheetView showGridLines="0" topLeftCell="A2" zoomScale="50" zoomScaleNormal="50" workbookViewId="0">
      <selection activeCell="Q11" sqref="Q11:Q15"/>
    </sheetView>
  </sheetViews>
  <sheetFormatPr defaultColWidth="10.83203125" defaultRowHeight="20"/>
  <cols>
    <col min="1" max="1" width="15.83203125" style="358" customWidth="1"/>
    <col min="2" max="2" width="5.33203125" style="359" customWidth="1"/>
    <col min="3" max="3" width="47.08203125" style="360" customWidth="1"/>
    <col min="4" max="4" width="69.5" style="358" customWidth="1"/>
    <col min="5" max="5" width="10.83203125" style="358"/>
    <col min="6" max="6" width="16.08203125" style="358" customWidth="1"/>
    <col min="7" max="7" width="5" style="358" customWidth="1"/>
    <col min="8" max="8" width="47.08203125" style="358" customWidth="1"/>
    <col min="9" max="9" width="69.83203125" style="358" customWidth="1"/>
    <col min="10" max="16384" width="10.83203125" style="358"/>
  </cols>
  <sheetData>
    <row r="1" spans="2:11" ht="27.5">
      <c r="B1" s="855" t="s">
        <v>234</v>
      </c>
      <c r="C1" s="855"/>
    </row>
    <row r="2" spans="2:11" ht="20.149999999999999" customHeight="1">
      <c r="B2" s="856"/>
      <c r="C2" s="856"/>
      <c r="D2" s="361"/>
    </row>
    <row r="3" spans="2:11" ht="60.5">
      <c r="B3" s="391" t="s">
        <v>592</v>
      </c>
      <c r="C3" s="391"/>
      <c r="D3" s="391"/>
      <c r="F3" s="361"/>
      <c r="G3" s="361"/>
    </row>
    <row r="4" spans="2:11" ht="62.15" customHeight="1">
      <c r="B4" s="858" t="str">
        <f>E18+J20 &amp; "     /200"</f>
        <v>0     /200</v>
      </c>
      <c r="C4" s="858"/>
      <c r="D4" s="361"/>
    </row>
    <row r="5" spans="2:11" ht="17.149999999999999" customHeight="1" thickBot="1"/>
    <row r="6" spans="2:11" s="362" customFormat="1" ht="20.5" thickBot="1">
      <c r="B6" s="857" t="s">
        <v>524</v>
      </c>
      <c r="C6" s="857"/>
      <c r="D6" s="363" t="s">
        <v>525</v>
      </c>
      <c r="E6" s="363" t="s">
        <v>526</v>
      </c>
      <c r="G6" s="854" t="s">
        <v>524</v>
      </c>
      <c r="H6" s="854"/>
      <c r="I6" s="364" t="s">
        <v>525</v>
      </c>
      <c r="J6" s="364" t="s">
        <v>526</v>
      </c>
    </row>
    <row r="7" spans="2:11" ht="124" customHeight="1" thickBot="1">
      <c r="B7" s="372">
        <v>1</v>
      </c>
      <c r="C7" s="373" t="s">
        <v>527</v>
      </c>
      <c r="D7" s="373" t="s">
        <v>528</v>
      </c>
      <c r="E7" s="374"/>
      <c r="F7" s="375" t="s">
        <v>529</v>
      </c>
      <c r="G7" s="376">
        <v>1</v>
      </c>
      <c r="H7" s="373" t="s">
        <v>530</v>
      </c>
      <c r="I7" s="380" t="s">
        <v>531</v>
      </c>
      <c r="J7" s="374"/>
      <c r="K7" s="375" t="s">
        <v>529</v>
      </c>
    </row>
    <row r="8" spans="2:11" ht="106" customHeight="1" thickBot="1">
      <c r="B8" s="376">
        <v>2</v>
      </c>
      <c r="C8" s="373" t="s">
        <v>532</v>
      </c>
      <c r="D8" s="373" t="s">
        <v>533</v>
      </c>
      <c r="E8" s="374"/>
      <c r="F8" s="375" t="s">
        <v>529</v>
      </c>
      <c r="G8" s="376">
        <v>2</v>
      </c>
      <c r="H8" s="373" t="s">
        <v>534</v>
      </c>
      <c r="I8" s="380" t="s">
        <v>535</v>
      </c>
      <c r="J8" s="374"/>
      <c r="K8" s="375" t="s">
        <v>529</v>
      </c>
    </row>
    <row r="9" spans="2:11" ht="134.15" customHeight="1" thickBot="1">
      <c r="B9" s="376">
        <v>3</v>
      </c>
      <c r="C9" s="373" t="s">
        <v>536</v>
      </c>
      <c r="D9" s="373" t="s">
        <v>537</v>
      </c>
      <c r="E9" s="374"/>
      <c r="F9" s="375" t="s">
        <v>529</v>
      </c>
      <c r="G9" s="376">
        <v>3</v>
      </c>
      <c r="H9" s="373" t="s">
        <v>538</v>
      </c>
      <c r="I9" s="380" t="s">
        <v>539</v>
      </c>
      <c r="J9" s="374"/>
      <c r="K9" s="375" t="s">
        <v>529</v>
      </c>
    </row>
    <row r="10" spans="2:11" ht="132" customHeight="1" thickBot="1">
      <c r="B10" s="376">
        <v>4</v>
      </c>
      <c r="C10" s="373" t="s">
        <v>540</v>
      </c>
      <c r="D10" s="373" t="s">
        <v>585</v>
      </c>
      <c r="E10" s="374"/>
      <c r="F10" s="375" t="s">
        <v>529</v>
      </c>
      <c r="G10" s="376">
        <v>4</v>
      </c>
      <c r="H10" s="373" t="s">
        <v>541</v>
      </c>
      <c r="I10" s="380" t="s">
        <v>542</v>
      </c>
      <c r="J10" s="374"/>
      <c r="K10" s="375" t="s">
        <v>529</v>
      </c>
    </row>
    <row r="11" spans="2:11" ht="86.15" customHeight="1" thickBot="1">
      <c r="B11" s="376">
        <v>5</v>
      </c>
      <c r="C11" s="373" t="s">
        <v>543</v>
      </c>
      <c r="D11" s="373" t="s">
        <v>544</v>
      </c>
      <c r="E11" s="374"/>
      <c r="F11" s="375" t="s">
        <v>529</v>
      </c>
      <c r="G11" s="376">
        <v>5</v>
      </c>
      <c r="H11" s="373" t="s">
        <v>545</v>
      </c>
      <c r="I11" s="380" t="s">
        <v>546</v>
      </c>
      <c r="J11" s="374"/>
      <c r="K11" s="375" t="s">
        <v>529</v>
      </c>
    </row>
    <row r="12" spans="2:11" ht="100" customHeight="1" thickBot="1">
      <c r="B12" s="376">
        <v>6</v>
      </c>
      <c r="C12" s="373" t="s">
        <v>547</v>
      </c>
      <c r="D12" s="373" t="s">
        <v>548</v>
      </c>
      <c r="E12" s="374"/>
      <c r="F12" s="375" t="s">
        <v>529</v>
      </c>
      <c r="G12" s="376">
        <v>6</v>
      </c>
      <c r="H12" s="373" t="s">
        <v>549</v>
      </c>
      <c r="I12" s="380" t="s">
        <v>550</v>
      </c>
      <c r="J12" s="374"/>
      <c r="K12" s="375" t="s">
        <v>529</v>
      </c>
    </row>
    <row r="13" spans="2:11" ht="100" customHeight="1" thickBot="1">
      <c r="B13" s="376">
        <v>7</v>
      </c>
      <c r="C13" s="373" t="s">
        <v>551</v>
      </c>
      <c r="D13" s="373" t="s">
        <v>552</v>
      </c>
      <c r="E13" s="374"/>
      <c r="F13" s="375" t="s">
        <v>529</v>
      </c>
      <c r="G13" s="376">
        <v>7</v>
      </c>
      <c r="H13" s="373" t="s">
        <v>553</v>
      </c>
      <c r="I13" s="380" t="s">
        <v>554</v>
      </c>
      <c r="J13" s="374"/>
      <c r="K13" s="375" t="s">
        <v>529</v>
      </c>
    </row>
    <row r="14" spans="2:11" ht="104.15" customHeight="1" thickBot="1">
      <c r="B14" s="376">
        <v>8</v>
      </c>
      <c r="C14" s="373" t="s">
        <v>555</v>
      </c>
      <c r="D14" s="373" t="s">
        <v>556</v>
      </c>
      <c r="E14" s="374"/>
      <c r="F14" s="375" t="s">
        <v>529</v>
      </c>
      <c r="G14" s="376">
        <v>8</v>
      </c>
      <c r="H14" s="373" t="s">
        <v>557</v>
      </c>
      <c r="I14" s="380" t="s">
        <v>558</v>
      </c>
      <c r="J14" s="374"/>
      <c r="K14" s="375" t="s">
        <v>529</v>
      </c>
    </row>
    <row r="15" spans="2:11" ht="120" customHeight="1" thickBot="1">
      <c r="B15" s="376">
        <v>9</v>
      </c>
      <c r="C15" s="373" t="s">
        <v>559</v>
      </c>
      <c r="D15" s="373" t="s">
        <v>560</v>
      </c>
      <c r="E15" s="374"/>
      <c r="F15" s="375" t="s">
        <v>529</v>
      </c>
      <c r="G15" s="376">
        <v>9</v>
      </c>
      <c r="H15" s="373" t="s">
        <v>561</v>
      </c>
      <c r="I15" s="380" t="s">
        <v>562</v>
      </c>
      <c r="J15" s="374"/>
      <c r="K15" s="375" t="s">
        <v>529</v>
      </c>
    </row>
    <row r="16" spans="2:11" ht="104.15" customHeight="1" thickBot="1">
      <c r="B16" s="376">
        <v>10</v>
      </c>
      <c r="C16" s="373" t="s">
        <v>563</v>
      </c>
      <c r="D16" s="373" t="s">
        <v>564</v>
      </c>
      <c r="E16" s="374"/>
      <c r="F16" s="375" t="s">
        <v>529</v>
      </c>
      <c r="G16" s="376">
        <v>10</v>
      </c>
      <c r="H16" s="373" t="s">
        <v>565</v>
      </c>
      <c r="I16" s="380" t="s">
        <v>566</v>
      </c>
      <c r="J16" s="374"/>
      <c r="K16" s="375" t="s">
        <v>529</v>
      </c>
    </row>
    <row r="17" spans="2:11" ht="86.15" customHeight="1" thickBot="1">
      <c r="B17" s="377">
        <v>11</v>
      </c>
      <c r="C17" s="378" t="s">
        <v>567</v>
      </c>
      <c r="D17" s="378" t="s">
        <v>568</v>
      </c>
      <c r="E17" s="379"/>
      <c r="F17" s="375" t="s">
        <v>529</v>
      </c>
      <c r="G17" s="376">
        <v>11</v>
      </c>
      <c r="H17" s="373" t="s">
        <v>569</v>
      </c>
      <c r="I17" s="380" t="s">
        <v>570</v>
      </c>
      <c r="J17" s="374"/>
      <c r="K17" s="375" t="s">
        <v>529</v>
      </c>
    </row>
    <row r="18" spans="2:11" ht="86.15" customHeight="1" thickBot="1">
      <c r="B18" s="853" t="s">
        <v>583</v>
      </c>
      <c r="C18" s="853"/>
      <c r="D18" s="368"/>
      <c r="E18" s="369">
        <f>SUM(E7:E17)</f>
        <v>0</v>
      </c>
      <c r="F18" s="366" t="s">
        <v>571</v>
      </c>
      <c r="G18" s="376">
        <v>12</v>
      </c>
      <c r="H18" s="373" t="s">
        <v>572</v>
      </c>
      <c r="I18" s="380" t="s">
        <v>573</v>
      </c>
      <c r="J18" s="374"/>
      <c r="K18" s="375" t="s">
        <v>529</v>
      </c>
    </row>
    <row r="19" spans="2:11" ht="86.15" customHeight="1" thickBot="1">
      <c r="G19" s="376">
        <v>13</v>
      </c>
      <c r="H19" s="373" t="s">
        <v>574</v>
      </c>
      <c r="I19" s="380" t="s">
        <v>575</v>
      </c>
      <c r="J19" s="374"/>
      <c r="K19" s="375" t="s">
        <v>529</v>
      </c>
    </row>
    <row r="20" spans="2:11" ht="86.15" customHeight="1" thickBot="1">
      <c r="G20" s="853" t="s">
        <v>584</v>
      </c>
      <c r="H20" s="853"/>
      <c r="I20" s="370"/>
      <c r="J20" s="371">
        <f>SUM(J7:J19)</f>
        <v>0</v>
      </c>
      <c r="K20" s="367" t="s">
        <v>571</v>
      </c>
    </row>
  </sheetData>
  <sheetProtection algorithmName="SHA-512" hashValue="WIWx6m6N8tj1gsXTyxskqJ6H5P7p8jUGeJbz6T+4GMVFkIz0Okryd8HAMPxn5ZwtBPja2FkFJle5zSJ3QYUEOg==" saltValue="PvWqQqR/wyhn9tCA/FZXvw==" spinCount="100000" sheet="1" objects="1" scenarios="1"/>
  <mergeCells count="7">
    <mergeCell ref="G20:H20"/>
    <mergeCell ref="G6:H6"/>
    <mergeCell ref="B18:C18"/>
    <mergeCell ref="B1:C1"/>
    <mergeCell ref="B2:C2"/>
    <mergeCell ref="B6:C6"/>
    <mergeCell ref="B4:C4"/>
  </mergeCells>
  <conditionalFormatting sqref="E7:E17">
    <cfRule type="containsBlanks" dxfId="232" priority="2">
      <formula>LEN(TRIM(E7))=0</formula>
    </cfRule>
  </conditionalFormatting>
  <conditionalFormatting sqref="J7:J19">
    <cfRule type="containsBlanks" dxfId="231" priority="1">
      <formula>LEN(TRIM(J7))=0</formula>
    </cfRule>
  </conditionalFormatting>
  <hyperlinks>
    <hyperlink ref="B1:C1" location="Home!A1" display="Return Home" xr:uid="{EF7524D3-A997-5242-B693-C9D768BF8B05}"/>
  </hyperlink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761B0-376F-4044-8409-6FD4A9994296}">
  <sheetPr>
    <tabColor rgb="FFFFC000"/>
    <pageSetUpPr fitToPage="1"/>
  </sheetPr>
  <dimension ref="B1:F35"/>
  <sheetViews>
    <sheetView zoomScale="90" zoomScaleNormal="90" workbookViewId="0">
      <selection activeCell="C14" sqref="C14"/>
    </sheetView>
  </sheetViews>
  <sheetFormatPr defaultColWidth="9.08203125" defaultRowHeight="20"/>
  <cols>
    <col min="1" max="1" width="21.58203125" style="454" customWidth="1"/>
    <col min="2" max="2" width="81.08203125" style="454" customWidth="1"/>
    <col min="3" max="3" width="20.83203125" style="454" customWidth="1"/>
    <col min="4" max="4" width="64.5" style="454" bestFit="1" customWidth="1"/>
    <col min="5" max="10" width="9.08203125" style="454"/>
    <col min="11" max="11" width="13.08203125" style="454" bestFit="1" customWidth="1"/>
    <col min="12" max="16384" width="9.08203125" style="454"/>
  </cols>
  <sheetData>
    <row r="1" spans="2:4" ht="18" customHeight="1">
      <c r="B1" s="455"/>
    </row>
    <row r="2" spans="2:4" ht="20.149999999999999" customHeight="1">
      <c r="B2" s="888"/>
      <c r="C2" s="888"/>
      <c r="D2" s="888"/>
    </row>
    <row r="3" spans="2:4" ht="68.150000000000006" customHeight="1">
      <c r="B3" s="887" t="s">
        <v>661</v>
      </c>
      <c r="C3" s="887"/>
      <c r="D3" s="887"/>
    </row>
    <row r="4" spans="2:4">
      <c r="B4" s="888"/>
      <c r="C4" s="888"/>
      <c r="D4" s="888"/>
    </row>
    <row r="5" spans="2:4">
      <c r="B5" s="776" t="s">
        <v>254</v>
      </c>
      <c r="C5" s="773">
        <v>90</v>
      </c>
      <c r="D5" s="456" t="s">
        <v>269</v>
      </c>
    </row>
    <row r="6" spans="2:4">
      <c r="B6" s="776" t="s">
        <v>662</v>
      </c>
      <c r="C6" s="777">
        <f>'Exchange Rate data'!D39</f>
        <v>924.023101</v>
      </c>
    </row>
    <row r="7" spans="2:4">
      <c r="B7" s="460" t="s">
        <v>663</v>
      </c>
      <c r="C7" s="546">
        <f>C5*C6</f>
        <v>83162.079089999999</v>
      </c>
      <c r="D7" s="490"/>
    </row>
    <row r="8" spans="2:4" ht="21.75" customHeight="1">
      <c r="B8" s="778" t="s">
        <v>664</v>
      </c>
      <c r="C8" s="779">
        <v>2574</v>
      </c>
      <c r="D8" s="492"/>
    </row>
    <row r="9" spans="2:4">
      <c r="B9" s="493" t="s">
        <v>665</v>
      </c>
      <c r="C9" s="546">
        <f>C7+C8</f>
        <v>85736.079089999999</v>
      </c>
      <c r="D9" s="495"/>
    </row>
    <row r="10" spans="2:4">
      <c r="B10" s="493" t="s">
        <v>666</v>
      </c>
      <c r="C10" s="546">
        <v>0</v>
      </c>
      <c r="D10" s="454" t="s">
        <v>646</v>
      </c>
    </row>
    <row r="11" spans="2:4">
      <c r="B11" s="493" t="s">
        <v>675</v>
      </c>
      <c r="C11" s="546">
        <f>0.3*(C9+C10)</f>
        <v>25720.823726999999</v>
      </c>
      <c r="D11" s="496"/>
    </row>
    <row r="12" spans="2:4">
      <c r="B12" s="493" t="s">
        <v>673</v>
      </c>
      <c r="C12" s="546">
        <f>(C9+C10+C11)*10%</f>
        <v>11145.690281700001</v>
      </c>
      <c r="D12" s="545"/>
    </row>
    <row r="13" spans="2:4">
      <c r="B13" s="493" t="s">
        <v>678</v>
      </c>
      <c r="C13" s="546">
        <f>C9+C10+C11+C12</f>
        <v>122602.59309869999</v>
      </c>
      <c r="D13" s="545"/>
    </row>
    <row r="14" spans="2:4">
      <c r="B14" s="493" t="s">
        <v>679</v>
      </c>
      <c r="C14" s="546">
        <f>C13*1.1</f>
        <v>134862.85240857</v>
      </c>
      <c r="D14" s="545"/>
    </row>
    <row r="15" spans="2:4">
      <c r="B15" s="493" t="s">
        <v>676</v>
      </c>
      <c r="C15" s="546">
        <f>C9*0.08</f>
        <v>6858.8863271999999</v>
      </c>
      <c r="D15" s="545"/>
    </row>
    <row r="16" spans="2:4">
      <c r="B16" s="460" t="s">
        <v>667</v>
      </c>
      <c r="C16" s="546">
        <f>C14+C15</f>
        <v>141721.73873576999</v>
      </c>
    </row>
    <row r="17" spans="2:6">
      <c r="B17" s="460" t="s">
        <v>668</v>
      </c>
      <c r="C17" s="546">
        <f>C16/12</f>
        <v>11810.144894647499</v>
      </c>
    </row>
    <row r="18" spans="2:6">
      <c r="B18" s="754" t="s">
        <v>259</v>
      </c>
      <c r="C18" s="764">
        <v>0.2</v>
      </c>
      <c r="D18" s="497"/>
    </row>
    <row r="19" spans="2:6">
      <c r="B19" s="460" t="s">
        <v>669</v>
      </c>
      <c r="C19" s="546">
        <f>C16/(1-C18)</f>
        <v>177152.17341971249</v>
      </c>
      <c r="D19" s="465"/>
    </row>
    <row r="20" spans="2:6" ht="24" customHeight="1">
      <c r="B20" s="460" t="s">
        <v>670</v>
      </c>
      <c r="C20" s="546">
        <f>C19/12</f>
        <v>14762.681118309374</v>
      </c>
      <c r="D20" s="462"/>
    </row>
    <row r="21" spans="2:6">
      <c r="B21" s="794" t="s">
        <v>262</v>
      </c>
      <c r="C21" s="795">
        <v>0.3</v>
      </c>
      <c r="D21" s="490"/>
    </row>
    <row r="22" spans="2:6" ht="20.5" thickBot="1">
      <c r="B22" s="796" t="s">
        <v>671</v>
      </c>
      <c r="C22" s="805">
        <f>C20/(1-C21)</f>
        <v>21089.544454727678</v>
      </c>
      <c r="D22" s="463"/>
    </row>
    <row r="23" spans="2:6">
      <c r="B23" s="889"/>
      <c r="C23" s="889"/>
      <c r="D23" s="890"/>
    </row>
    <row r="24" spans="2:6">
      <c r="B24" s="885" t="s">
        <v>270</v>
      </c>
      <c r="C24" s="885"/>
      <c r="D24" s="885"/>
    </row>
    <row r="25" spans="2:6">
      <c r="B25" s="457" t="s">
        <v>264</v>
      </c>
      <c r="C25" s="464"/>
      <c r="D25" s="464"/>
    </row>
    <row r="26" spans="2:6">
      <c r="B26" s="884" t="s">
        <v>265</v>
      </c>
      <c r="C26" s="884"/>
      <c r="D26" s="884"/>
    </row>
    <row r="27" spans="2:6" ht="22.5" customHeight="1">
      <c r="B27" s="886" t="s">
        <v>674</v>
      </c>
      <c r="C27" s="886"/>
      <c r="D27" s="886"/>
    </row>
    <row r="28" spans="2:6" ht="21" customHeight="1">
      <c r="B28" s="457" t="s">
        <v>677</v>
      </c>
      <c r="C28" s="459"/>
      <c r="D28" s="459"/>
    </row>
    <row r="29" spans="2:6" ht="20.149999999999999" customHeight="1">
      <c r="B29" s="901" t="s">
        <v>680</v>
      </c>
      <c r="C29" s="902"/>
      <c r="D29" s="902"/>
      <c r="E29" s="902"/>
      <c r="F29" s="903"/>
    </row>
    <row r="30" spans="2:6">
      <c r="B30" s="904"/>
      <c r="C30" s="905"/>
      <c r="D30" s="905"/>
      <c r="E30" s="905"/>
      <c r="F30" s="906"/>
    </row>
    <row r="31" spans="2:6">
      <c r="B31" s="894" t="s">
        <v>655</v>
      </c>
      <c r="C31" s="894"/>
      <c r="D31" s="894"/>
    </row>
    <row r="32" spans="2:6">
      <c r="B32" s="460" t="s">
        <v>681</v>
      </c>
      <c r="C32" s="460"/>
      <c r="D32" s="460"/>
    </row>
    <row r="33" spans="2:4">
      <c r="B33" s="891"/>
      <c r="C33" s="891"/>
      <c r="D33" s="891"/>
    </row>
    <row r="34" spans="2:4">
      <c r="B34" s="883" t="s">
        <v>266</v>
      </c>
      <c r="C34" s="883"/>
      <c r="D34" s="883"/>
    </row>
    <row r="35" spans="2:4">
      <c r="B35" s="883" t="s">
        <v>267</v>
      </c>
      <c r="C35" s="883"/>
      <c r="D35" s="883"/>
    </row>
  </sheetData>
  <mergeCells count="12">
    <mergeCell ref="B35:D35"/>
    <mergeCell ref="B2:D2"/>
    <mergeCell ref="B3:D3"/>
    <mergeCell ref="B4:D4"/>
    <mergeCell ref="B23:D23"/>
    <mergeCell ref="B24:D24"/>
    <mergeCell ref="B26:D26"/>
    <mergeCell ref="B27:D27"/>
    <mergeCell ref="B31:D31"/>
    <mergeCell ref="B33:D33"/>
    <mergeCell ref="B34:D34"/>
    <mergeCell ref="B29:F30"/>
  </mergeCells>
  <pageMargins left="0.7" right="0.7" top="0.75" bottom="0.75" header="0.3" footer="0.3"/>
  <pageSetup paperSize="9" scale="4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E9612-D639-4092-A798-F2212A8CEDC3}">
  <sheetPr>
    <tabColor rgb="FFFFC000"/>
    <pageSetUpPr fitToPage="1"/>
  </sheetPr>
  <dimension ref="B1:F31"/>
  <sheetViews>
    <sheetView zoomScale="90" zoomScaleNormal="90" workbookViewId="0">
      <selection activeCell="C11" sqref="C11"/>
    </sheetView>
  </sheetViews>
  <sheetFormatPr defaultColWidth="9.08203125" defaultRowHeight="20"/>
  <cols>
    <col min="1" max="1" width="21.58203125" style="454" customWidth="1"/>
    <col min="2" max="2" width="79.75" style="454" customWidth="1"/>
    <col min="3" max="3" width="20.83203125" style="454" customWidth="1"/>
    <col min="4" max="4" width="64.5" style="454" bestFit="1" customWidth="1"/>
    <col min="5" max="10" width="9.08203125" style="454"/>
    <col min="11" max="11" width="13.08203125" style="454" bestFit="1" customWidth="1"/>
    <col min="12" max="16384" width="9.08203125" style="454"/>
  </cols>
  <sheetData>
    <row r="1" spans="2:4" ht="18" customHeight="1">
      <c r="B1" s="455"/>
    </row>
    <row r="2" spans="2:4" ht="20.149999999999999" customHeight="1">
      <c r="B2" s="888"/>
      <c r="C2" s="888"/>
      <c r="D2" s="888"/>
    </row>
    <row r="3" spans="2:4" ht="68.150000000000006" customHeight="1">
      <c r="B3" s="887" t="s">
        <v>783</v>
      </c>
      <c r="C3" s="887"/>
      <c r="D3" s="887"/>
    </row>
    <row r="4" spans="2:4">
      <c r="B4" s="888"/>
      <c r="C4" s="888"/>
      <c r="D4" s="888"/>
    </row>
    <row r="5" spans="2:4">
      <c r="B5" s="776" t="s">
        <v>254</v>
      </c>
      <c r="C5" s="773">
        <v>66</v>
      </c>
      <c r="D5" s="456" t="s">
        <v>269</v>
      </c>
    </row>
    <row r="6" spans="2:4">
      <c r="B6" s="776" t="s">
        <v>793</v>
      </c>
      <c r="C6" s="780">
        <f>'Exchange Rate data'!D61</f>
        <v>21.040846999999999</v>
      </c>
    </row>
    <row r="7" spans="2:4">
      <c r="B7" s="460" t="s">
        <v>785</v>
      </c>
      <c r="C7" s="579">
        <f>C5*C6</f>
        <v>1388.6959019999999</v>
      </c>
      <c r="D7" s="490"/>
    </row>
    <row r="8" spans="2:4" ht="22.5" customHeight="1">
      <c r="B8" s="755" t="s">
        <v>786</v>
      </c>
      <c r="C8" s="780">
        <v>200</v>
      </c>
      <c r="D8" s="492"/>
    </row>
    <row r="9" spans="2:4">
      <c r="B9" s="493" t="s">
        <v>787</v>
      </c>
      <c r="C9" s="579">
        <f>C7+C8</f>
        <v>1588.6959019999999</v>
      </c>
      <c r="D9" s="495"/>
    </row>
    <row r="10" spans="2:4">
      <c r="B10" s="493" t="s">
        <v>788</v>
      </c>
      <c r="C10" s="579">
        <f>C9*0.1</f>
        <v>158.8695902</v>
      </c>
    </row>
    <row r="11" spans="2:4">
      <c r="B11" s="781" t="s">
        <v>784</v>
      </c>
      <c r="C11" s="782">
        <v>0.14000000000000001</v>
      </c>
    </row>
    <row r="12" spans="2:4">
      <c r="B12" s="493" t="s">
        <v>789</v>
      </c>
      <c r="C12" s="579">
        <f>7*9*(C11*100)</f>
        <v>882.00000000000011</v>
      </c>
      <c r="D12" s="580" t="s">
        <v>795</v>
      </c>
    </row>
    <row r="13" spans="2:4">
      <c r="B13" s="493" t="s">
        <v>988</v>
      </c>
      <c r="C13" s="579">
        <f>(C9+C10+C12)*5%</f>
        <v>131.47827461</v>
      </c>
      <c r="D13" s="545"/>
    </row>
    <row r="14" spans="2:4">
      <c r="B14" s="460" t="s">
        <v>989</v>
      </c>
      <c r="C14" s="579">
        <f>SUM(C9:C10,C12:C13)</f>
        <v>2761.0437668099999</v>
      </c>
    </row>
    <row r="15" spans="2:4">
      <c r="B15" s="460" t="s">
        <v>990</v>
      </c>
      <c r="C15" s="579">
        <f>C14/12</f>
        <v>230.08698056749998</v>
      </c>
    </row>
    <row r="16" spans="2:4">
      <c r="B16" s="754" t="s">
        <v>259</v>
      </c>
      <c r="C16" s="765">
        <v>0.3</v>
      </c>
      <c r="D16" s="497"/>
    </row>
    <row r="17" spans="2:6">
      <c r="B17" s="460" t="s">
        <v>790</v>
      </c>
      <c r="C17" s="579">
        <f>C14/(1-C16)</f>
        <v>3944.3482383</v>
      </c>
      <c r="D17" s="465" t="s">
        <v>335</v>
      </c>
    </row>
    <row r="18" spans="2:6" ht="24" customHeight="1">
      <c r="B18" s="460" t="s">
        <v>791</v>
      </c>
      <c r="C18" s="579">
        <f>C17/12</f>
        <v>328.69568652499999</v>
      </c>
      <c r="D18" s="462"/>
    </row>
    <row r="19" spans="2:6">
      <c r="B19" s="794" t="s">
        <v>262</v>
      </c>
      <c r="C19" s="795">
        <v>0.4</v>
      </c>
      <c r="D19" s="490"/>
    </row>
    <row r="20" spans="2:6" ht="20.5" thickBot="1">
      <c r="B20" s="796" t="s">
        <v>792</v>
      </c>
      <c r="C20" s="804">
        <f>C18/(1-C19)</f>
        <v>547.82614420833329</v>
      </c>
      <c r="D20" s="463"/>
    </row>
    <row r="21" spans="2:6">
      <c r="B21" s="889"/>
      <c r="C21" s="889"/>
      <c r="D21" s="890"/>
    </row>
    <row r="22" spans="2:6">
      <c r="B22" s="885" t="s">
        <v>270</v>
      </c>
      <c r="C22" s="885"/>
      <c r="D22" s="885"/>
    </row>
    <row r="23" spans="2:6">
      <c r="B23" s="457" t="s">
        <v>264</v>
      </c>
      <c r="C23" s="464"/>
      <c r="D23" s="464"/>
    </row>
    <row r="24" spans="2:6">
      <c r="B24" s="884" t="s">
        <v>265</v>
      </c>
      <c r="C24" s="884"/>
      <c r="D24" s="884"/>
    </row>
    <row r="25" spans="2:6" ht="22.5" customHeight="1">
      <c r="B25" s="886" t="s">
        <v>794</v>
      </c>
      <c r="C25" s="886"/>
      <c r="D25" s="886"/>
    </row>
    <row r="26" spans="2:6" ht="21" customHeight="1">
      <c r="B26" s="457" t="s">
        <v>796</v>
      </c>
      <c r="C26" s="459"/>
      <c r="D26" s="459"/>
    </row>
    <row r="27" spans="2:6">
      <c r="B27" s="894" t="s">
        <v>655</v>
      </c>
      <c r="C27" s="894"/>
      <c r="D27" s="894"/>
    </row>
    <row r="28" spans="2:6">
      <c r="B28" s="898" t="s">
        <v>681</v>
      </c>
      <c r="C28" s="899"/>
      <c r="D28" s="899"/>
      <c r="E28" s="899"/>
      <c r="F28" s="900"/>
    </row>
    <row r="29" spans="2:6">
      <c r="B29" s="891"/>
      <c r="C29" s="891"/>
      <c r="D29" s="891"/>
    </row>
    <row r="30" spans="2:6">
      <c r="B30" s="883" t="s">
        <v>955</v>
      </c>
      <c r="C30" s="883"/>
      <c r="D30" s="883"/>
    </row>
    <row r="31" spans="2:6">
      <c r="B31" s="883" t="s">
        <v>267</v>
      </c>
      <c r="C31" s="883"/>
      <c r="D31" s="883"/>
    </row>
  </sheetData>
  <mergeCells count="12">
    <mergeCell ref="B31:D31"/>
    <mergeCell ref="B2:D2"/>
    <mergeCell ref="B3:D3"/>
    <mergeCell ref="B4:D4"/>
    <mergeCell ref="B21:D21"/>
    <mergeCell ref="B22:D22"/>
    <mergeCell ref="B24:D24"/>
    <mergeCell ref="B25:D25"/>
    <mergeCell ref="B27:D27"/>
    <mergeCell ref="B28:F28"/>
    <mergeCell ref="B29:D29"/>
    <mergeCell ref="B30:D30"/>
  </mergeCells>
  <pageMargins left="0.7" right="0.7" top="0.75" bottom="0.75" header="0.3" footer="0.3"/>
  <pageSetup paperSize="9" scale="4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2D84-09A3-49FA-8463-4C9EA7BE4674}">
  <sheetPr>
    <tabColor rgb="FFFFC000"/>
    <pageSetUpPr fitToPage="1"/>
  </sheetPr>
  <dimension ref="B1:K36"/>
  <sheetViews>
    <sheetView topLeftCell="A6" zoomScale="90" zoomScaleNormal="90" workbookViewId="0">
      <selection activeCell="I30" sqref="I30"/>
    </sheetView>
  </sheetViews>
  <sheetFormatPr defaultColWidth="9.08203125" defaultRowHeight="20"/>
  <cols>
    <col min="1" max="1" width="21.58203125" style="454" customWidth="1"/>
    <col min="2" max="2" width="85.5" style="454" customWidth="1"/>
    <col min="3" max="3" width="20.83203125" style="454" customWidth="1"/>
    <col min="4" max="4" width="64.5" style="454" bestFit="1" customWidth="1"/>
    <col min="5" max="6" width="9.08203125" style="454"/>
    <col min="7" max="7" width="13.5" style="454" bestFit="1" customWidth="1"/>
    <col min="8" max="10" width="9.08203125" style="454"/>
    <col min="11" max="11" width="13.08203125" style="454" bestFit="1" customWidth="1"/>
    <col min="12" max="16384" width="9.08203125" style="454"/>
  </cols>
  <sheetData>
    <row r="1" spans="2:7" ht="18" customHeight="1">
      <c r="B1" s="455"/>
    </row>
    <row r="2" spans="2:7" ht="20.149999999999999" customHeight="1">
      <c r="B2" s="888"/>
      <c r="C2" s="888"/>
      <c r="D2" s="888"/>
    </row>
    <row r="3" spans="2:7" ht="68.150000000000006" customHeight="1">
      <c r="B3" s="887" t="s">
        <v>956</v>
      </c>
      <c r="C3" s="887"/>
      <c r="D3" s="887"/>
    </row>
    <row r="4" spans="2:7">
      <c r="B4" s="888"/>
      <c r="C4" s="888"/>
      <c r="D4" s="888"/>
    </row>
    <row r="5" spans="2:7">
      <c r="B5" s="757" t="s">
        <v>254</v>
      </c>
      <c r="C5" s="783">
        <v>90</v>
      </c>
      <c r="D5" s="456" t="s">
        <v>269</v>
      </c>
    </row>
    <row r="6" spans="2:7">
      <c r="B6" s="776" t="s">
        <v>957</v>
      </c>
      <c r="C6" s="767">
        <f>'Exchange Rate data'!D62</f>
        <v>21.739826000000001</v>
      </c>
    </row>
    <row r="7" spans="2:7">
      <c r="B7" s="460" t="s">
        <v>958</v>
      </c>
      <c r="C7" s="753">
        <f>C5*C6</f>
        <v>1956.5843400000001</v>
      </c>
      <c r="D7" s="490"/>
    </row>
    <row r="8" spans="2:7" ht="24.65" customHeight="1">
      <c r="B8" s="755" t="s">
        <v>959</v>
      </c>
      <c r="C8" s="784">
        <v>230</v>
      </c>
      <c r="D8" s="492"/>
      <c r="G8" s="758"/>
    </row>
    <row r="9" spans="2:7">
      <c r="B9" s="493" t="s">
        <v>960</v>
      </c>
      <c r="C9" s="753">
        <f>C7+C8</f>
        <v>2186.5843400000003</v>
      </c>
      <c r="D9" s="495"/>
      <c r="G9" s="758"/>
    </row>
    <row r="10" spans="2:7">
      <c r="B10" s="493" t="s">
        <v>961</v>
      </c>
      <c r="C10" s="753">
        <v>0</v>
      </c>
    </row>
    <row r="11" spans="2:7">
      <c r="B11" s="817" t="s">
        <v>981</v>
      </c>
      <c r="C11" s="818">
        <v>0.13</v>
      </c>
    </row>
    <row r="12" spans="2:7">
      <c r="B12" s="785" t="s">
        <v>965</v>
      </c>
      <c r="C12" s="753">
        <f>1000*C11*9</f>
        <v>1170</v>
      </c>
      <c r="D12" s="496" t="s">
        <v>968</v>
      </c>
    </row>
    <row r="13" spans="2:7">
      <c r="B13" s="493" t="s">
        <v>966</v>
      </c>
      <c r="C13" s="753">
        <f>(C12)*10%</f>
        <v>117</v>
      </c>
      <c r="D13" s="545"/>
    </row>
    <row r="14" spans="2:7">
      <c r="B14" s="491" t="s">
        <v>967</v>
      </c>
      <c r="C14" s="753">
        <f>C12*2%</f>
        <v>23.400000000000002</v>
      </c>
      <c r="D14" s="497"/>
    </row>
    <row r="15" spans="2:7">
      <c r="B15" s="460" t="s">
        <v>986</v>
      </c>
      <c r="C15" s="753">
        <f>SUM(C9:C10,C12:C14)</f>
        <v>3496.9843400000004</v>
      </c>
    </row>
    <row r="16" spans="2:7">
      <c r="B16" s="460" t="s">
        <v>987</v>
      </c>
      <c r="C16" s="753">
        <f>C15/12</f>
        <v>291.41536166666668</v>
      </c>
    </row>
    <row r="17" spans="2:11">
      <c r="B17" s="754" t="s">
        <v>259</v>
      </c>
      <c r="C17" s="764">
        <v>0.2</v>
      </c>
      <c r="D17" s="497"/>
    </row>
    <row r="18" spans="2:11">
      <c r="B18" s="460" t="s">
        <v>962</v>
      </c>
      <c r="C18" s="753">
        <f>C15/(1-C17)</f>
        <v>4371.2304250000007</v>
      </c>
      <c r="D18" s="465" t="s">
        <v>335</v>
      </c>
    </row>
    <row r="19" spans="2:11" ht="19.5" customHeight="1">
      <c r="B19" s="460" t="s">
        <v>963</v>
      </c>
      <c r="C19" s="753">
        <f>C18/12</f>
        <v>364.26920208333337</v>
      </c>
      <c r="D19" s="462"/>
    </row>
    <row r="20" spans="2:11">
      <c r="B20" s="754" t="s">
        <v>262</v>
      </c>
      <c r="C20" s="795">
        <v>0.3</v>
      </c>
      <c r="D20" s="490"/>
    </row>
    <row r="21" spans="2:11">
      <c r="B21" s="816" t="s">
        <v>994</v>
      </c>
      <c r="C21" s="753">
        <f>C19/(1-C20)</f>
        <v>520.38457440476202</v>
      </c>
      <c r="D21" s="490"/>
    </row>
    <row r="22" spans="2:11" ht="20.5" thickBot="1">
      <c r="B22" s="796" t="s">
        <v>995</v>
      </c>
      <c r="C22" s="803">
        <f>C21*1.07</f>
        <v>556.81149461309542</v>
      </c>
      <c r="D22" s="463"/>
    </row>
    <row r="23" spans="2:11">
      <c r="B23" s="801"/>
      <c r="C23" s="802"/>
      <c r="D23" s="463"/>
    </row>
    <row r="24" spans="2:11">
      <c r="B24" s="890"/>
      <c r="C24" s="890"/>
      <c r="D24" s="890"/>
    </row>
    <row r="25" spans="2:11">
      <c r="B25" s="885" t="s">
        <v>270</v>
      </c>
      <c r="C25" s="885"/>
      <c r="D25" s="885"/>
    </row>
    <row r="26" spans="2:11">
      <c r="B26" s="457" t="s">
        <v>264</v>
      </c>
      <c r="C26" s="464"/>
      <c r="D26" s="464"/>
    </row>
    <row r="27" spans="2:11">
      <c r="B27" s="884" t="s">
        <v>265</v>
      </c>
      <c r="C27" s="884"/>
      <c r="D27" s="884"/>
    </row>
    <row r="28" spans="2:11" ht="22.5" customHeight="1">
      <c r="B28" s="886" t="s">
        <v>964</v>
      </c>
      <c r="C28" s="886"/>
      <c r="D28" s="886"/>
    </row>
    <row r="29" spans="2:11" ht="21" customHeight="1">
      <c r="B29" s="907" t="s">
        <v>997</v>
      </c>
      <c r="C29" s="908"/>
      <c r="D29" s="908"/>
      <c r="E29" s="908"/>
      <c r="F29" s="908"/>
      <c r="G29" s="908"/>
      <c r="H29" s="908"/>
      <c r="I29" s="908"/>
      <c r="J29" s="908"/>
      <c r="K29" s="756"/>
    </row>
    <row r="30" spans="2:11" ht="21" customHeight="1">
      <c r="B30" s="907" t="s">
        <v>996</v>
      </c>
      <c r="C30" s="908"/>
      <c r="D30" s="908"/>
      <c r="E30" s="815"/>
      <c r="F30" s="815"/>
      <c r="G30" s="815"/>
      <c r="H30" s="815"/>
      <c r="I30" s="815"/>
      <c r="J30" s="815"/>
      <c r="K30" s="756"/>
    </row>
    <row r="31" spans="2:11">
      <c r="B31" s="894" t="s">
        <v>655</v>
      </c>
      <c r="C31" s="894"/>
      <c r="D31" s="894"/>
    </row>
    <row r="32" spans="2:11">
      <c r="B32" s="898" t="s">
        <v>681</v>
      </c>
      <c r="C32" s="899"/>
      <c r="D32" s="899"/>
      <c r="E32" s="899"/>
      <c r="F32" s="900"/>
    </row>
    <row r="34" spans="2:4">
      <c r="B34" s="891"/>
      <c r="C34" s="891"/>
      <c r="D34" s="891"/>
    </row>
    <row r="35" spans="2:4">
      <c r="B35" s="883" t="s">
        <v>955</v>
      </c>
      <c r="C35" s="883"/>
      <c r="D35" s="883"/>
    </row>
    <row r="36" spans="2:4">
      <c r="B36" s="883" t="s">
        <v>267</v>
      </c>
      <c r="C36" s="883"/>
      <c r="D36" s="883"/>
    </row>
  </sheetData>
  <mergeCells count="14">
    <mergeCell ref="B27:D27"/>
    <mergeCell ref="B2:D2"/>
    <mergeCell ref="B3:D3"/>
    <mergeCell ref="B4:D4"/>
    <mergeCell ref="B24:D24"/>
    <mergeCell ref="B25:D25"/>
    <mergeCell ref="B35:D35"/>
    <mergeCell ref="B36:D36"/>
    <mergeCell ref="B28:D28"/>
    <mergeCell ref="B29:J29"/>
    <mergeCell ref="B30:D30"/>
    <mergeCell ref="B31:D31"/>
    <mergeCell ref="B32:F32"/>
    <mergeCell ref="B34:D34"/>
  </mergeCells>
  <pageMargins left="0.7" right="0.7" top="0.75" bottom="0.75" header="0.3" footer="0.3"/>
  <pageSetup paperSize="9" scale="47"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75763-0DFE-40D9-9E88-58B94D870F03}">
  <sheetPr>
    <tabColor rgb="FFFFC000"/>
    <pageSetUpPr fitToPage="1"/>
  </sheetPr>
  <dimension ref="B1:E29"/>
  <sheetViews>
    <sheetView showGridLines="0" zoomScale="90" zoomScaleNormal="90" workbookViewId="0">
      <selection activeCell="C16" sqref="C16"/>
    </sheetView>
  </sheetViews>
  <sheetFormatPr defaultColWidth="9.08203125" defaultRowHeight="20"/>
  <cols>
    <col min="1" max="1" width="4.83203125" style="454" customWidth="1"/>
    <col min="2" max="2" width="100.33203125" style="454" customWidth="1"/>
    <col min="3" max="3" width="20.83203125" style="454" customWidth="1"/>
    <col min="4" max="4" width="65.83203125" style="454" customWidth="1"/>
    <col min="5" max="10" width="9.08203125" style="454"/>
    <col min="11" max="11" width="13.08203125" style="454" bestFit="1" customWidth="1"/>
    <col min="12" max="16384" width="9.08203125" style="454"/>
  </cols>
  <sheetData>
    <row r="1" spans="2:5" ht="18" customHeight="1">
      <c r="B1" s="455"/>
    </row>
    <row r="2" spans="2:5" ht="20.149999999999999" customHeight="1">
      <c r="B2" s="888"/>
      <c r="C2" s="888"/>
      <c r="D2" s="888"/>
    </row>
    <row r="3" spans="2:5" ht="68.150000000000006" customHeight="1">
      <c r="B3" s="887" t="s">
        <v>1004</v>
      </c>
      <c r="C3" s="887"/>
      <c r="D3" s="887"/>
    </row>
    <row r="4" spans="2:5">
      <c r="B4" s="888"/>
      <c r="C4" s="888"/>
      <c r="D4" s="888"/>
    </row>
    <row r="5" spans="2:5">
      <c r="B5" s="776" t="s">
        <v>254</v>
      </c>
      <c r="C5" s="773">
        <v>170</v>
      </c>
      <c r="D5" s="829" t="s">
        <v>269</v>
      </c>
    </row>
    <row r="6" spans="2:5" ht="20.149999999999999" customHeight="1">
      <c r="B6" s="776" t="s">
        <v>1005</v>
      </c>
      <c r="C6" s="830">
        <v>16529.337608000002</v>
      </c>
      <c r="D6" s="831" t="s">
        <v>1006</v>
      </c>
      <c r="E6" s="553"/>
    </row>
    <row r="7" spans="2:5">
      <c r="B7" s="460" t="s">
        <v>1007</v>
      </c>
      <c r="C7" s="832">
        <f>C5*C6</f>
        <v>2809987.3933600001</v>
      </c>
      <c r="D7" s="833"/>
    </row>
    <row r="8" spans="2:5" ht="21.75" customHeight="1">
      <c r="B8" s="778" t="s">
        <v>1008</v>
      </c>
      <c r="C8" s="834">
        <v>200000</v>
      </c>
      <c r="D8" s="492"/>
    </row>
    <row r="9" spans="2:5">
      <c r="B9" s="493" t="s">
        <v>1009</v>
      </c>
      <c r="C9" s="832">
        <f>C7+C8</f>
        <v>3009987.3933600001</v>
      </c>
      <c r="D9" s="495"/>
    </row>
    <row r="10" spans="2:5">
      <c r="B10" s="493" t="s">
        <v>1010</v>
      </c>
      <c r="C10" s="832">
        <f>C9*0.2</f>
        <v>601997.478672</v>
      </c>
    </row>
    <row r="11" spans="2:5">
      <c r="B11" s="493" t="s">
        <v>1011</v>
      </c>
      <c r="C11" s="832">
        <f>0.35*(C9+C10)</f>
        <v>1264194.7052112001</v>
      </c>
      <c r="D11" s="496"/>
    </row>
    <row r="12" spans="2:5">
      <c r="B12" s="493" t="s">
        <v>1012</v>
      </c>
      <c r="C12" s="832">
        <f>C9+C10+C11</f>
        <v>4876179.5772432005</v>
      </c>
      <c r="D12" s="545"/>
    </row>
    <row r="13" spans="2:5">
      <c r="B13" s="493" t="s">
        <v>1013</v>
      </c>
      <c r="C13" s="832">
        <f>C12*1.1</f>
        <v>5363797.5349675212</v>
      </c>
      <c r="D13" s="545"/>
    </row>
    <row r="14" spans="2:5">
      <c r="B14" s="460" t="s">
        <v>1014</v>
      </c>
      <c r="C14" s="832">
        <f>C13/12</f>
        <v>446983.12791396008</v>
      </c>
    </row>
    <row r="15" spans="2:5">
      <c r="B15" s="754" t="s">
        <v>259</v>
      </c>
      <c r="C15" s="764">
        <v>0.3</v>
      </c>
      <c r="D15" s="497"/>
    </row>
    <row r="16" spans="2:5">
      <c r="B16" s="460" t="s">
        <v>1015</v>
      </c>
      <c r="C16" s="832">
        <f>C13/(1-C15)</f>
        <v>7662567.9070964595</v>
      </c>
      <c r="D16" s="465"/>
    </row>
    <row r="17" spans="2:4" ht="24" customHeight="1">
      <c r="B17" s="460" t="s">
        <v>1016</v>
      </c>
      <c r="C17" s="832">
        <f>C16/12</f>
        <v>638547.32559137163</v>
      </c>
      <c r="D17" s="462"/>
    </row>
    <row r="18" spans="2:4">
      <c r="B18" s="794" t="s">
        <v>262</v>
      </c>
      <c r="C18" s="795">
        <v>0.3</v>
      </c>
      <c r="D18" s="490"/>
    </row>
    <row r="19" spans="2:4" ht="20.5" thickBot="1">
      <c r="B19" s="796" t="s">
        <v>1017</v>
      </c>
      <c r="C19" s="835">
        <f>C17/(1-C18)</f>
        <v>912210.465130531</v>
      </c>
      <c r="D19" s="463"/>
    </row>
    <row r="20" spans="2:4">
      <c r="B20" s="889"/>
      <c r="C20" s="889"/>
      <c r="D20" s="890"/>
    </row>
    <row r="21" spans="2:4">
      <c r="B21" s="885" t="s">
        <v>270</v>
      </c>
      <c r="C21" s="885"/>
      <c r="D21" s="885"/>
    </row>
    <row r="22" spans="2:4">
      <c r="B22" s="457" t="s">
        <v>264</v>
      </c>
      <c r="C22" s="464"/>
      <c r="D22" s="464"/>
    </row>
    <row r="23" spans="2:4">
      <c r="B23" s="884" t="s">
        <v>1018</v>
      </c>
      <c r="C23" s="884"/>
      <c r="D23" s="884"/>
    </row>
    <row r="24" spans="2:4" ht="22.5" customHeight="1">
      <c r="B24" s="886" t="s">
        <v>1019</v>
      </c>
      <c r="C24" s="886"/>
      <c r="D24" s="886"/>
    </row>
    <row r="25" spans="2:4" ht="21" customHeight="1">
      <c r="B25" s="457" t="s">
        <v>1020</v>
      </c>
      <c r="C25" s="459"/>
      <c r="D25" s="459"/>
    </row>
    <row r="26" spans="2:4">
      <c r="B26" s="894" t="s">
        <v>655</v>
      </c>
      <c r="C26" s="894"/>
      <c r="D26" s="894"/>
    </row>
    <row r="27" spans="2:4">
      <c r="B27" s="891"/>
      <c r="C27" s="891"/>
      <c r="D27" s="891"/>
    </row>
    <row r="28" spans="2:4">
      <c r="B28" s="883" t="s">
        <v>1021</v>
      </c>
      <c r="C28" s="883"/>
      <c r="D28" s="883"/>
    </row>
    <row r="29" spans="2:4">
      <c r="B29" s="883" t="s">
        <v>267</v>
      </c>
      <c r="C29" s="883"/>
      <c r="D29" s="883"/>
    </row>
  </sheetData>
  <mergeCells count="11">
    <mergeCell ref="B24:D24"/>
    <mergeCell ref="B26:D26"/>
    <mergeCell ref="B27:D27"/>
    <mergeCell ref="B28:D28"/>
    <mergeCell ref="B29:D29"/>
    <mergeCell ref="B23:D23"/>
    <mergeCell ref="B2:D2"/>
    <mergeCell ref="B3:D3"/>
    <mergeCell ref="B4:D4"/>
    <mergeCell ref="B20:D20"/>
    <mergeCell ref="B21:D21"/>
  </mergeCells>
  <pageMargins left="0.7" right="0.7" top="0.75" bottom="0.75" header="0.3" footer="0.3"/>
  <pageSetup paperSize="9" scale="4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54CB4-B043-462D-A2DA-9F93B75AAB9E}">
  <sheetPr>
    <tabColor theme="7"/>
  </sheetPr>
  <dimension ref="B2:F34"/>
  <sheetViews>
    <sheetView topLeftCell="A9" zoomScale="90" zoomScaleNormal="90" workbookViewId="0">
      <selection activeCell="C5" sqref="C5"/>
    </sheetView>
  </sheetViews>
  <sheetFormatPr defaultColWidth="9.08203125" defaultRowHeight="20"/>
  <cols>
    <col min="1" max="1" width="14.33203125" style="454" customWidth="1"/>
    <col min="2" max="2" width="126.58203125" style="454" bestFit="1" customWidth="1"/>
    <col min="3" max="3" width="20.83203125" style="454" customWidth="1"/>
    <col min="4" max="4" width="64.5" style="454" bestFit="1" customWidth="1"/>
    <col min="5" max="5" width="9.08203125" style="454"/>
    <col min="6" max="6" width="11.75" style="454" bestFit="1" customWidth="1"/>
    <col min="7" max="16384" width="9.08203125" style="454"/>
  </cols>
  <sheetData>
    <row r="2" spans="2:4" ht="18" customHeight="1"/>
    <row r="3" spans="2:4" ht="60" customHeight="1">
      <c r="B3" s="887" t="s">
        <v>682</v>
      </c>
      <c r="C3" s="887"/>
      <c r="D3" s="887"/>
    </row>
    <row r="4" spans="2:4" ht="20.149999999999999" customHeight="1">
      <c r="B4" s="888"/>
      <c r="C4" s="888"/>
      <c r="D4" s="888"/>
    </row>
    <row r="5" spans="2:4">
      <c r="B5" s="464" t="s">
        <v>254</v>
      </c>
      <c r="C5" s="468">
        <v>100</v>
      </c>
      <c r="D5" s="465" t="s">
        <v>334</v>
      </c>
    </row>
    <row r="6" spans="2:4">
      <c r="B6" s="464" t="s">
        <v>683</v>
      </c>
      <c r="C6" s="786">
        <f>'Exchange Rate data'!D8</f>
        <v>54.141815999999999</v>
      </c>
    </row>
    <row r="7" spans="2:4">
      <c r="B7" s="457" t="s">
        <v>684</v>
      </c>
      <c r="C7" s="547">
        <f>C5*C6</f>
        <v>5414.1815999999999</v>
      </c>
      <c r="D7" s="554"/>
    </row>
    <row r="8" spans="2:4" ht="40">
      <c r="B8" s="471" t="s">
        <v>685</v>
      </c>
      <c r="C8" s="787">
        <f>3*C6</f>
        <v>162.42544799999999</v>
      </c>
    </row>
    <row r="9" spans="2:4">
      <c r="B9" s="761" t="s">
        <v>686</v>
      </c>
      <c r="C9" s="788">
        <v>0.85</v>
      </c>
      <c r="D9" s="496" t="s">
        <v>693</v>
      </c>
    </row>
    <row r="10" spans="2:4">
      <c r="B10" s="459" t="s">
        <v>687</v>
      </c>
      <c r="C10" s="547">
        <f>C9*(C7+C8)</f>
        <v>4740.1159908</v>
      </c>
    </row>
    <row r="11" spans="2:4">
      <c r="B11" s="459" t="s">
        <v>697</v>
      </c>
      <c r="C11" s="789">
        <v>0.1</v>
      </c>
    </row>
    <row r="12" spans="2:4">
      <c r="B12" s="459" t="s">
        <v>696</v>
      </c>
      <c r="C12" s="547">
        <f>C11*C10</f>
        <v>474.01159908</v>
      </c>
    </row>
    <row r="13" spans="2:4">
      <c r="B13" s="459" t="s">
        <v>985</v>
      </c>
      <c r="C13" s="547">
        <v>90</v>
      </c>
    </row>
    <row r="14" spans="2:4">
      <c r="B14" s="459" t="s">
        <v>954</v>
      </c>
      <c r="C14" s="547">
        <f>300*9</f>
        <v>2700</v>
      </c>
      <c r="D14" s="496" t="s">
        <v>953</v>
      </c>
    </row>
    <row r="15" spans="2:4">
      <c r="B15" s="457" t="s">
        <v>688</v>
      </c>
      <c r="C15" s="547">
        <f>C7+C8+C10+C12+C14+C13</f>
        <v>13580.734637879999</v>
      </c>
    </row>
    <row r="16" spans="2:4">
      <c r="B16" s="473" t="s">
        <v>259</v>
      </c>
      <c r="C16" s="474">
        <v>0.4</v>
      </c>
    </row>
    <row r="17" spans="2:6">
      <c r="B17" s="457" t="s">
        <v>689</v>
      </c>
      <c r="C17" s="547">
        <f>C15/(1-C16)</f>
        <v>22634.557729799999</v>
      </c>
      <c r="D17" s="465" t="s">
        <v>335</v>
      </c>
    </row>
    <row r="18" spans="2:6">
      <c r="B18" s="460" t="s">
        <v>690</v>
      </c>
      <c r="C18" s="547">
        <f>C17/12</f>
        <v>1886.2131441499998</v>
      </c>
    </row>
    <row r="19" spans="2:6">
      <c r="B19" s="476" t="s">
        <v>262</v>
      </c>
      <c r="C19" s="477">
        <v>0.2</v>
      </c>
    </row>
    <row r="20" spans="2:6">
      <c r="B20" s="460" t="s">
        <v>691</v>
      </c>
      <c r="C20" s="547">
        <f>C18/(1-C19)</f>
        <v>2357.7664301874997</v>
      </c>
    </row>
    <row r="21" spans="2:6">
      <c r="B21" s="790" t="s">
        <v>698</v>
      </c>
      <c r="C21" s="791">
        <v>0.2</v>
      </c>
    </row>
    <row r="22" spans="2:6">
      <c r="B22" s="798" t="s">
        <v>969</v>
      </c>
      <c r="C22" s="799">
        <f>(C21*SUM(C7,C8,C10,C12,C14,C13)*0.4)/12</f>
        <v>90.538230919200018</v>
      </c>
      <c r="D22" s="496" t="s">
        <v>970</v>
      </c>
    </row>
    <row r="23" spans="2:6" ht="20.5" thickBot="1">
      <c r="B23" s="796" t="s">
        <v>692</v>
      </c>
      <c r="C23" s="800">
        <f>C20+C22</f>
        <v>2448.3046611066998</v>
      </c>
      <c r="D23" s="547"/>
      <c r="F23" s="554"/>
    </row>
    <row r="24" spans="2:6" ht="15" customHeight="1">
      <c r="B24" s="889"/>
      <c r="C24" s="889"/>
      <c r="D24" s="890"/>
    </row>
    <row r="25" spans="2:6">
      <c r="B25" s="891" t="s">
        <v>339</v>
      </c>
      <c r="C25" s="891"/>
      <c r="D25" s="891"/>
    </row>
    <row r="26" spans="2:6">
      <c r="B26" s="457" t="s">
        <v>264</v>
      </c>
      <c r="C26" s="464"/>
      <c r="D26" s="464"/>
    </row>
    <row r="27" spans="2:6">
      <c r="B27" s="884" t="s">
        <v>311</v>
      </c>
      <c r="C27" s="884"/>
      <c r="D27" s="884"/>
    </row>
    <row r="28" spans="2:6">
      <c r="B28" s="457" t="s">
        <v>699</v>
      </c>
      <c r="C28" s="457"/>
      <c r="D28" s="457"/>
    </row>
    <row r="29" spans="2:6">
      <c r="B29" s="884" t="s">
        <v>681</v>
      </c>
      <c r="C29" s="884"/>
      <c r="D29" s="884"/>
    </row>
    <row r="30" spans="2:6" ht="44.5" customHeight="1">
      <c r="B30" s="909" t="s">
        <v>782</v>
      </c>
      <c r="C30" s="910"/>
      <c r="D30" s="911"/>
    </row>
    <row r="31" spans="2:6" ht="45" customHeight="1">
      <c r="B31" s="912"/>
      <c r="C31" s="913"/>
      <c r="D31" s="914"/>
    </row>
    <row r="32" spans="2:6" ht="20.5" customHeight="1">
      <c r="B32" s="549" t="s">
        <v>694</v>
      </c>
      <c r="C32" s="578">
        <f>((C7+C8)/76)/12</f>
        <v>6.1147007105263151</v>
      </c>
      <c r="D32" s="548"/>
    </row>
    <row r="33" spans="2:4">
      <c r="B33" s="883" t="s">
        <v>955</v>
      </c>
      <c r="C33" s="883"/>
      <c r="D33" s="883"/>
    </row>
    <row r="34" spans="2:4">
      <c r="B34" s="883" t="s">
        <v>267</v>
      </c>
      <c r="C34" s="883"/>
      <c r="D34" s="883"/>
    </row>
  </sheetData>
  <mergeCells count="9">
    <mergeCell ref="B29:D29"/>
    <mergeCell ref="B33:D33"/>
    <mergeCell ref="B34:D34"/>
    <mergeCell ref="B30:D31"/>
    <mergeCell ref="B3:D3"/>
    <mergeCell ref="B4:D4"/>
    <mergeCell ref="B24:D24"/>
    <mergeCell ref="B25:D25"/>
    <mergeCell ref="B27:D2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018CD-376D-B444-A839-E291842C10E8}">
  <sheetPr transitionEvaluation="1" codeName="Sheet17">
    <tabColor theme="7"/>
  </sheetPr>
  <dimension ref="B2:AC108"/>
  <sheetViews>
    <sheetView showGridLines="0" workbookViewId="0">
      <selection activeCell="H16" sqref="H16"/>
    </sheetView>
  </sheetViews>
  <sheetFormatPr defaultColWidth="11.5" defaultRowHeight="15.5"/>
  <cols>
    <col min="1" max="1" width="6.08203125" customWidth="1"/>
    <col min="2" max="2" width="20" customWidth="1"/>
    <col min="3" max="3" width="8.58203125" bestFit="1" customWidth="1"/>
    <col min="4" max="4" width="11" customWidth="1"/>
    <col min="5" max="5" width="14.5" customWidth="1"/>
    <col min="6" max="6" width="14" customWidth="1"/>
    <col min="7" max="7" width="8" customWidth="1"/>
    <col min="8" max="8" width="18.83203125" customWidth="1"/>
    <col min="9" max="9" width="20.83203125" customWidth="1"/>
    <col min="10" max="10" width="9.08203125" customWidth="1"/>
    <col min="11" max="11" width="5.58203125" customWidth="1"/>
    <col min="12" max="12" width="6.33203125" customWidth="1"/>
    <col min="13" max="13" width="11.83203125" customWidth="1"/>
    <col min="15" max="15" width="12.58203125" hidden="1" customWidth="1"/>
    <col min="16" max="16" width="11.5" customWidth="1"/>
    <col min="17" max="17" width="13" customWidth="1"/>
    <col min="18" max="18" width="11.5" customWidth="1"/>
    <col min="259" max="259" width="20" customWidth="1"/>
    <col min="260" max="260" width="8.58203125" bestFit="1" customWidth="1"/>
    <col min="261" max="261" width="11" customWidth="1"/>
    <col min="262" max="262" width="14.5" customWidth="1"/>
    <col min="263" max="263" width="14" customWidth="1"/>
    <col min="264" max="264" width="8" customWidth="1"/>
    <col min="265" max="265" width="18.83203125" customWidth="1"/>
    <col min="266" max="266" width="20.83203125" customWidth="1"/>
    <col min="267" max="267" width="9.08203125" customWidth="1"/>
    <col min="268" max="268" width="5.58203125" customWidth="1"/>
    <col min="269" max="269" width="6.33203125" customWidth="1"/>
    <col min="270" max="270" width="11.83203125" customWidth="1"/>
    <col min="272" max="272" width="0" hidden="1" customWidth="1"/>
    <col min="273" max="273" width="17.58203125" customWidth="1"/>
    <col min="274" max="274" width="15" customWidth="1"/>
    <col min="515" max="515" width="20" customWidth="1"/>
    <col min="516" max="516" width="8.58203125" bestFit="1" customWidth="1"/>
    <col min="517" max="517" width="11" customWidth="1"/>
    <col min="518" max="518" width="14.5" customWidth="1"/>
    <col min="519" max="519" width="14" customWidth="1"/>
    <col min="520" max="520" width="8" customWidth="1"/>
    <col min="521" max="521" width="18.83203125" customWidth="1"/>
    <col min="522" max="522" width="20.83203125" customWidth="1"/>
    <col min="523" max="523" width="9.08203125" customWidth="1"/>
    <col min="524" max="524" width="5.58203125" customWidth="1"/>
    <col min="525" max="525" width="6.33203125" customWidth="1"/>
    <col min="526" max="526" width="11.83203125" customWidth="1"/>
    <col min="528" max="528" width="0" hidden="1" customWidth="1"/>
    <col min="529" max="529" width="17.58203125" customWidth="1"/>
    <col min="530" max="530" width="15" customWidth="1"/>
    <col min="771" max="771" width="20" customWidth="1"/>
    <col min="772" max="772" width="8.58203125" bestFit="1" customWidth="1"/>
    <col min="773" max="773" width="11" customWidth="1"/>
    <col min="774" max="774" width="14.5" customWidth="1"/>
    <col min="775" max="775" width="14" customWidth="1"/>
    <col min="776" max="776" width="8" customWidth="1"/>
    <col min="777" max="777" width="18.83203125" customWidth="1"/>
    <col min="778" max="778" width="20.83203125" customWidth="1"/>
    <col min="779" max="779" width="9.08203125" customWidth="1"/>
    <col min="780" max="780" width="5.58203125" customWidth="1"/>
    <col min="781" max="781" width="6.33203125" customWidth="1"/>
    <col min="782" max="782" width="11.83203125" customWidth="1"/>
    <col min="784" max="784" width="0" hidden="1" customWidth="1"/>
    <col min="785" max="785" width="17.58203125" customWidth="1"/>
    <col min="786" max="786" width="15" customWidth="1"/>
    <col min="1027" max="1027" width="20" customWidth="1"/>
    <col min="1028" max="1028" width="8.58203125" bestFit="1" customWidth="1"/>
    <col min="1029" max="1029" width="11" customWidth="1"/>
    <col min="1030" max="1030" width="14.5" customWidth="1"/>
    <col min="1031" max="1031" width="14" customWidth="1"/>
    <col min="1032" max="1032" width="8" customWidth="1"/>
    <col min="1033" max="1033" width="18.83203125" customWidth="1"/>
    <col min="1034" max="1034" width="20.83203125" customWidth="1"/>
    <col min="1035" max="1035" width="9.08203125" customWidth="1"/>
    <col min="1036" max="1036" width="5.58203125" customWidth="1"/>
    <col min="1037" max="1037" width="6.33203125" customWidth="1"/>
    <col min="1038" max="1038" width="11.83203125" customWidth="1"/>
    <col min="1040" max="1040" width="0" hidden="1" customWidth="1"/>
    <col min="1041" max="1041" width="17.58203125" customWidth="1"/>
    <col min="1042" max="1042" width="15" customWidth="1"/>
    <col min="1283" max="1283" width="20" customWidth="1"/>
    <col min="1284" max="1284" width="8.58203125" bestFit="1" customWidth="1"/>
    <col min="1285" max="1285" width="11" customWidth="1"/>
    <col min="1286" max="1286" width="14.5" customWidth="1"/>
    <col min="1287" max="1287" width="14" customWidth="1"/>
    <col min="1288" max="1288" width="8" customWidth="1"/>
    <col min="1289" max="1289" width="18.83203125" customWidth="1"/>
    <col min="1290" max="1290" width="20.83203125" customWidth="1"/>
    <col min="1291" max="1291" width="9.08203125" customWidth="1"/>
    <col min="1292" max="1292" width="5.58203125" customWidth="1"/>
    <col min="1293" max="1293" width="6.33203125" customWidth="1"/>
    <col min="1294" max="1294" width="11.83203125" customWidth="1"/>
    <col min="1296" max="1296" width="0" hidden="1" customWidth="1"/>
    <col min="1297" max="1297" width="17.58203125" customWidth="1"/>
    <col min="1298" max="1298" width="15" customWidth="1"/>
    <col min="1539" max="1539" width="20" customWidth="1"/>
    <col min="1540" max="1540" width="8.58203125" bestFit="1" customWidth="1"/>
    <col min="1541" max="1541" width="11" customWidth="1"/>
    <col min="1542" max="1542" width="14.5" customWidth="1"/>
    <col min="1543" max="1543" width="14" customWidth="1"/>
    <col min="1544" max="1544" width="8" customWidth="1"/>
    <col min="1545" max="1545" width="18.83203125" customWidth="1"/>
    <col min="1546" max="1546" width="20.83203125" customWidth="1"/>
    <col min="1547" max="1547" width="9.08203125" customWidth="1"/>
    <col min="1548" max="1548" width="5.58203125" customWidth="1"/>
    <col min="1549" max="1549" width="6.33203125" customWidth="1"/>
    <col min="1550" max="1550" width="11.83203125" customWidth="1"/>
    <col min="1552" max="1552" width="0" hidden="1" customWidth="1"/>
    <col min="1553" max="1553" width="17.58203125" customWidth="1"/>
    <col min="1554" max="1554" width="15" customWidth="1"/>
    <col min="1795" max="1795" width="20" customWidth="1"/>
    <col min="1796" max="1796" width="8.58203125" bestFit="1" customWidth="1"/>
    <col min="1797" max="1797" width="11" customWidth="1"/>
    <col min="1798" max="1798" width="14.5" customWidth="1"/>
    <col min="1799" max="1799" width="14" customWidth="1"/>
    <col min="1800" max="1800" width="8" customWidth="1"/>
    <col min="1801" max="1801" width="18.83203125" customWidth="1"/>
    <col min="1802" max="1802" width="20.83203125" customWidth="1"/>
    <col min="1803" max="1803" width="9.08203125" customWidth="1"/>
    <col min="1804" max="1804" width="5.58203125" customWidth="1"/>
    <col min="1805" max="1805" width="6.33203125" customWidth="1"/>
    <col min="1806" max="1806" width="11.83203125" customWidth="1"/>
    <col min="1808" max="1808" width="0" hidden="1" customWidth="1"/>
    <col min="1809" max="1809" width="17.58203125" customWidth="1"/>
    <col min="1810" max="1810" width="15" customWidth="1"/>
    <col min="2051" max="2051" width="20" customWidth="1"/>
    <col min="2052" max="2052" width="8.58203125" bestFit="1" customWidth="1"/>
    <col min="2053" max="2053" width="11" customWidth="1"/>
    <col min="2054" max="2054" width="14.5" customWidth="1"/>
    <col min="2055" max="2055" width="14" customWidth="1"/>
    <col min="2056" max="2056" width="8" customWidth="1"/>
    <col min="2057" max="2057" width="18.83203125" customWidth="1"/>
    <col min="2058" max="2058" width="20.83203125" customWidth="1"/>
    <col min="2059" max="2059" width="9.08203125" customWidth="1"/>
    <col min="2060" max="2060" width="5.58203125" customWidth="1"/>
    <col min="2061" max="2061" width="6.33203125" customWidth="1"/>
    <col min="2062" max="2062" width="11.83203125" customWidth="1"/>
    <col min="2064" max="2064" width="0" hidden="1" customWidth="1"/>
    <col min="2065" max="2065" width="17.58203125" customWidth="1"/>
    <col min="2066" max="2066" width="15" customWidth="1"/>
    <col min="2307" max="2307" width="20" customWidth="1"/>
    <col min="2308" max="2308" width="8.58203125" bestFit="1" customWidth="1"/>
    <col min="2309" max="2309" width="11" customWidth="1"/>
    <col min="2310" max="2310" width="14.5" customWidth="1"/>
    <col min="2311" max="2311" width="14" customWidth="1"/>
    <col min="2312" max="2312" width="8" customWidth="1"/>
    <col min="2313" max="2313" width="18.83203125" customWidth="1"/>
    <col min="2314" max="2314" width="20.83203125" customWidth="1"/>
    <col min="2315" max="2315" width="9.08203125" customWidth="1"/>
    <col min="2316" max="2316" width="5.58203125" customWidth="1"/>
    <col min="2317" max="2317" width="6.33203125" customWidth="1"/>
    <col min="2318" max="2318" width="11.83203125" customWidth="1"/>
    <col min="2320" max="2320" width="0" hidden="1" customWidth="1"/>
    <col min="2321" max="2321" width="17.58203125" customWidth="1"/>
    <col min="2322" max="2322" width="15" customWidth="1"/>
    <col min="2563" max="2563" width="20" customWidth="1"/>
    <col min="2564" max="2564" width="8.58203125" bestFit="1" customWidth="1"/>
    <col min="2565" max="2565" width="11" customWidth="1"/>
    <col min="2566" max="2566" width="14.5" customWidth="1"/>
    <col min="2567" max="2567" width="14" customWidth="1"/>
    <col min="2568" max="2568" width="8" customWidth="1"/>
    <col min="2569" max="2569" width="18.83203125" customWidth="1"/>
    <col min="2570" max="2570" width="20.83203125" customWidth="1"/>
    <col min="2571" max="2571" width="9.08203125" customWidth="1"/>
    <col min="2572" max="2572" width="5.58203125" customWidth="1"/>
    <col min="2573" max="2573" width="6.33203125" customWidth="1"/>
    <col min="2574" max="2574" width="11.83203125" customWidth="1"/>
    <col min="2576" max="2576" width="0" hidden="1" customWidth="1"/>
    <col min="2577" max="2577" width="17.58203125" customWidth="1"/>
    <col min="2578" max="2578" width="15" customWidth="1"/>
    <col min="2819" max="2819" width="20" customWidth="1"/>
    <col min="2820" max="2820" width="8.58203125" bestFit="1" customWidth="1"/>
    <col min="2821" max="2821" width="11" customWidth="1"/>
    <col min="2822" max="2822" width="14.5" customWidth="1"/>
    <col min="2823" max="2823" width="14" customWidth="1"/>
    <col min="2824" max="2824" width="8" customWidth="1"/>
    <col min="2825" max="2825" width="18.83203125" customWidth="1"/>
    <col min="2826" max="2826" width="20.83203125" customWidth="1"/>
    <col min="2827" max="2827" width="9.08203125" customWidth="1"/>
    <col min="2828" max="2828" width="5.58203125" customWidth="1"/>
    <col min="2829" max="2829" width="6.33203125" customWidth="1"/>
    <col min="2830" max="2830" width="11.83203125" customWidth="1"/>
    <col min="2832" max="2832" width="0" hidden="1" customWidth="1"/>
    <col min="2833" max="2833" width="17.58203125" customWidth="1"/>
    <col min="2834" max="2834" width="15" customWidth="1"/>
    <col min="3075" max="3075" width="20" customWidth="1"/>
    <col min="3076" max="3076" width="8.58203125" bestFit="1" customWidth="1"/>
    <col min="3077" max="3077" width="11" customWidth="1"/>
    <col min="3078" max="3078" width="14.5" customWidth="1"/>
    <col min="3079" max="3079" width="14" customWidth="1"/>
    <col min="3080" max="3080" width="8" customWidth="1"/>
    <col min="3081" max="3081" width="18.83203125" customWidth="1"/>
    <col min="3082" max="3082" width="20.83203125" customWidth="1"/>
    <col min="3083" max="3083" width="9.08203125" customWidth="1"/>
    <col min="3084" max="3084" width="5.58203125" customWidth="1"/>
    <col min="3085" max="3085" width="6.33203125" customWidth="1"/>
    <col min="3086" max="3086" width="11.83203125" customWidth="1"/>
    <col min="3088" max="3088" width="0" hidden="1" customWidth="1"/>
    <col min="3089" max="3089" width="17.58203125" customWidth="1"/>
    <col min="3090" max="3090" width="15" customWidth="1"/>
    <col min="3331" max="3331" width="20" customWidth="1"/>
    <col min="3332" max="3332" width="8.58203125" bestFit="1" customWidth="1"/>
    <col min="3333" max="3333" width="11" customWidth="1"/>
    <col min="3334" max="3334" width="14.5" customWidth="1"/>
    <col min="3335" max="3335" width="14" customWidth="1"/>
    <col min="3336" max="3336" width="8" customWidth="1"/>
    <col min="3337" max="3337" width="18.83203125" customWidth="1"/>
    <col min="3338" max="3338" width="20.83203125" customWidth="1"/>
    <col min="3339" max="3339" width="9.08203125" customWidth="1"/>
    <col min="3340" max="3340" width="5.58203125" customWidth="1"/>
    <col min="3341" max="3341" width="6.33203125" customWidth="1"/>
    <col min="3342" max="3342" width="11.83203125" customWidth="1"/>
    <col min="3344" max="3344" width="0" hidden="1" customWidth="1"/>
    <col min="3345" max="3345" width="17.58203125" customWidth="1"/>
    <col min="3346" max="3346" width="15" customWidth="1"/>
    <col min="3587" max="3587" width="20" customWidth="1"/>
    <col min="3588" max="3588" width="8.58203125" bestFit="1" customWidth="1"/>
    <col min="3589" max="3589" width="11" customWidth="1"/>
    <col min="3590" max="3590" width="14.5" customWidth="1"/>
    <col min="3591" max="3591" width="14" customWidth="1"/>
    <col min="3592" max="3592" width="8" customWidth="1"/>
    <col min="3593" max="3593" width="18.83203125" customWidth="1"/>
    <col min="3594" max="3594" width="20.83203125" customWidth="1"/>
    <col min="3595" max="3595" width="9.08203125" customWidth="1"/>
    <col min="3596" max="3596" width="5.58203125" customWidth="1"/>
    <col min="3597" max="3597" width="6.33203125" customWidth="1"/>
    <col min="3598" max="3598" width="11.83203125" customWidth="1"/>
    <col min="3600" max="3600" width="0" hidden="1" customWidth="1"/>
    <col min="3601" max="3601" width="17.58203125" customWidth="1"/>
    <col min="3602" max="3602" width="15" customWidth="1"/>
    <col min="3843" max="3843" width="20" customWidth="1"/>
    <col min="3844" max="3844" width="8.58203125" bestFit="1" customWidth="1"/>
    <col min="3845" max="3845" width="11" customWidth="1"/>
    <col min="3846" max="3846" width="14.5" customWidth="1"/>
    <col min="3847" max="3847" width="14" customWidth="1"/>
    <col min="3848" max="3848" width="8" customWidth="1"/>
    <col min="3849" max="3849" width="18.83203125" customWidth="1"/>
    <col min="3850" max="3850" width="20.83203125" customWidth="1"/>
    <col min="3851" max="3851" width="9.08203125" customWidth="1"/>
    <col min="3852" max="3852" width="5.58203125" customWidth="1"/>
    <col min="3853" max="3853" width="6.33203125" customWidth="1"/>
    <col min="3854" max="3854" width="11.83203125" customWidth="1"/>
    <col min="3856" max="3856" width="0" hidden="1" customWidth="1"/>
    <col min="3857" max="3857" width="17.58203125" customWidth="1"/>
    <col min="3858" max="3858" width="15" customWidth="1"/>
    <col min="4099" max="4099" width="20" customWidth="1"/>
    <col min="4100" max="4100" width="8.58203125" bestFit="1" customWidth="1"/>
    <col min="4101" max="4101" width="11" customWidth="1"/>
    <col min="4102" max="4102" width="14.5" customWidth="1"/>
    <col min="4103" max="4103" width="14" customWidth="1"/>
    <col min="4104" max="4104" width="8" customWidth="1"/>
    <col min="4105" max="4105" width="18.83203125" customWidth="1"/>
    <col min="4106" max="4106" width="20.83203125" customWidth="1"/>
    <col min="4107" max="4107" width="9.08203125" customWidth="1"/>
    <col min="4108" max="4108" width="5.58203125" customWidth="1"/>
    <col min="4109" max="4109" width="6.33203125" customWidth="1"/>
    <col min="4110" max="4110" width="11.83203125" customWidth="1"/>
    <col min="4112" max="4112" width="0" hidden="1" customWidth="1"/>
    <col min="4113" max="4113" width="17.58203125" customWidth="1"/>
    <col min="4114" max="4114" width="15" customWidth="1"/>
    <col min="4355" max="4355" width="20" customWidth="1"/>
    <col min="4356" max="4356" width="8.58203125" bestFit="1" customWidth="1"/>
    <col min="4357" max="4357" width="11" customWidth="1"/>
    <col min="4358" max="4358" width="14.5" customWidth="1"/>
    <col min="4359" max="4359" width="14" customWidth="1"/>
    <col min="4360" max="4360" width="8" customWidth="1"/>
    <col min="4361" max="4361" width="18.83203125" customWidth="1"/>
    <col min="4362" max="4362" width="20.83203125" customWidth="1"/>
    <col min="4363" max="4363" width="9.08203125" customWidth="1"/>
    <col min="4364" max="4364" width="5.58203125" customWidth="1"/>
    <col min="4365" max="4365" width="6.33203125" customWidth="1"/>
    <col min="4366" max="4366" width="11.83203125" customWidth="1"/>
    <col min="4368" max="4368" width="0" hidden="1" customWidth="1"/>
    <col min="4369" max="4369" width="17.58203125" customWidth="1"/>
    <col min="4370" max="4370" width="15" customWidth="1"/>
    <col min="4611" max="4611" width="20" customWidth="1"/>
    <col min="4612" max="4612" width="8.58203125" bestFit="1" customWidth="1"/>
    <col min="4613" max="4613" width="11" customWidth="1"/>
    <col min="4614" max="4614" width="14.5" customWidth="1"/>
    <col min="4615" max="4615" width="14" customWidth="1"/>
    <col min="4616" max="4616" width="8" customWidth="1"/>
    <col min="4617" max="4617" width="18.83203125" customWidth="1"/>
    <col min="4618" max="4618" width="20.83203125" customWidth="1"/>
    <col min="4619" max="4619" width="9.08203125" customWidth="1"/>
    <col min="4620" max="4620" width="5.58203125" customWidth="1"/>
    <col min="4621" max="4621" width="6.33203125" customWidth="1"/>
    <col min="4622" max="4622" width="11.83203125" customWidth="1"/>
    <col min="4624" max="4624" width="0" hidden="1" customWidth="1"/>
    <col min="4625" max="4625" width="17.58203125" customWidth="1"/>
    <col min="4626" max="4626" width="15" customWidth="1"/>
    <col min="4867" max="4867" width="20" customWidth="1"/>
    <col min="4868" max="4868" width="8.58203125" bestFit="1" customWidth="1"/>
    <col min="4869" max="4869" width="11" customWidth="1"/>
    <col min="4870" max="4870" width="14.5" customWidth="1"/>
    <col min="4871" max="4871" width="14" customWidth="1"/>
    <col min="4872" max="4872" width="8" customWidth="1"/>
    <col min="4873" max="4873" width="18.83203125" customWidth="1"/>
    <col min="4874" max="4874" width="20.83203125" customWidth="1"/>
    <col min="4875" max="4875" width="9.08203125" customWidth="1"/>
    <col min="4876" max="4876" width="5.58203125" customWidth="1"/>
    <col min="4877" max="4877" width="6.33203125" customWidth="1"/>
    <col min="4878" max="4878" width="11.83203125" customWidth="1"/>
    <col min="4880" max="4880" width="0" hidden="1" customWidth="1"/>
    <col min="4881" max="4881" width="17.58203125" customWidth="1"/>
    <col min="4882" max="4882" width="15" customWidth="1"/>
    <col min="5123" max="5123" width="20" customWidth="1"/>
    <col min="5124" max="5124" width="8.58203125" bestFit="1" customWidth="1"/>
    <col min="5125" max="5125" width="11" customWidth="1"/>
    <col min="5126" max="5126" width="14.5" customWidth="1"/>
    <col min="5127" max="5127" width="14" customWidth="1"/>
    <col min="5128" max="5128" width="8" customWidth="1"/>
    <col min="5129" max="5129" width="18.83203125" customWidth="1"/>
    <col min="5130" max="5130" width="20.83203125" customWidth="1"/>
    <col min="5131" max="5131" width="9.08203125" customWidth="1"/>
    <col min="5132" max="5132" width="5.58203125" customWidth="1"/>
    <col min="5133" max="5133" width="6.33203125" customWidth="1"/>
    <col min="5134" max="5134" width="11.83203125" customWidth="1"/>
    <col min="5136" max="5136" width="0" hidden="1" customWidth="1"/>
    <col min="5137" max="5137" width="17.58203125" customWidth="1"/>
    <col min="5138" max="5138" width="15" customWidth="1"/>
    <col min="5379" max="5379" width="20" customWidth="1"/>
    <col min="5380" max="5380" width="8.58203125" bestFit="1" customWidth="1"/>
    <col min="5381" max="5381" width="11" customWidth="1"/>
    <col min="5382" max="5382" width="14.5" customWidth="1"/>
    <col min="5383" max="5383" width="14" customWidth="1"/>
    <col min="5384" max="5384" width="8" customWidth="1"/>
    <col min="5385" max="5385" width="18.83203125" customWidth="1"/>
    <col min="5386" max="5386" width="20.83203125" customWidth="1"/>
    <col min="5387" max="5387" width="9.08203125" customWidth="1"/>
    <col min="5388" max="5388" width="5.58203125" customWidth="1"/>
    <col min="5389" max="5389" width="6.33203125" customWidth="1"/>
    <col min="5390" max="5390" width="11.83203125" customWidth="1"/>
    <col min="5392" max="5392" width="0" hidden="1" customWidth="1"/>
    <col min="5393" max="5393" width="17.58203125" customWidth="1"/>
    <col min="5394" max="5394" width="15" customWidth="1"/>
    <col min="5635" max="5635" width="20" customWidth="1"/>
    <col min="5636" max="5636" width="8.58203125" bestFit="1" customWidth="1"/>
    <col min="5637" max="5637" width="11" customWidth="1"/>
    <col min="5638" max="5638" width="14.5" customWidth="1"/>
    <col min="5639" max="5639" width="14" customWidth="1"/>
    <col min="5640" max="5640" width="8" customWidth="1"/>
    <col min="5641" max="5641" width="18.83203125" customWidth="1"/>
    <col min="5642" max="5642" width="20.83203125" customWidth="1"/>
    <col min="5643" max="5643" width="9.08203125" customWidth="1"/>
    <col min="5644" max="5644" width="5.58203125" customWidth="1"/>
    <col min="5645" max="5645" width="6.33203125" customWidth="1"/>
    <col min="5646" max="5646" width="11.83203125" customWidth="1"/>
    <col min="5648" max="5648" width="0" hidden="1" customWidth="1"/>
    <col min="5649" max="5649" width="17.58203125" customWidth="1"/>
    <col min="5650" max="5650" width="15" customWidth="1"/>
    <col min="5891" max="5891" width="20" customWidth="1"/>
    <col min="5892" max="5892" width="8.58203125" bestFit="1" customWidth="1"/>
    <col min="5893" max="5893" width="11" customWidth="1"/>
    <col min="5894" max="5894" width="14.5" customWidth="1"/>
    <col min="5895" max="5895" width="14" customWidth="1"/>
    <col min="5896" max="5896" width="8" customWidth="1"/>
    <col min="5897" max="5897" width="18.83203125" customWidth="1"/>
    <col min="5898" max="5898" width="20.83203125" customWidth="1"/>
    <col min="5899" max="5899" width="9.08203125" customWidth="1"/>
    <col min="5900" max="5900" width="5.58203125" customWidth="1"/>
    <col min="5901" max="5901" width="6.33203125" customWidth="1"/>
    <col min="5902" max="5902" width="11.83203125" customWidth="1"/>
    <col min="5904" max="5904" width="0" hidden="1" customWidth="1"/>
    <col min="5905" max="5905" width="17.58203125" customWidth="1"/>
    <col min="5906" max="5906" width="15" customWidth="1"/>
    <col min="6147" max="6147" width="20" customWidth="1"/>
    <col min="6148" max="6148" width="8.58203125" bestFit="1" customWidth="1"/>
    <col min="6149" max="6149" width="11" customWidth="1"/>
    <col min="6150" max="6150" width="14.5" customWidth="1"/>
    <col min="6151" max="6151" width="14" customWidth="1"/>
    <col min="6152" max="6152" width="8" customWidth="1"/>
    <col min="6153" max="6153" width="18.83203125" customWidth="1"/>
    <col min="6154" max="6154" width="20.83203125" customWidth="1"/>
    <col min="6155" max="6155" width="9.08203125" customWidth="1"/>
    <col min="6156" max="6156" width="5.58203125" customWidth="1"/>
    <col min="6157" max="6157" width="6.33203125" customWidth="1"/>
    <col min="6158" max="6158" width="11.83203125" customWidth="1"/>
    <col min="6160" max="6160" width="0" hidden="1" customWidth="1"/>
    <col min="6161" max="6161" width="17.58203125" customWidth="1"/>
    <col min="6162" max="6162" width="15" customWidth="1"/>
    <col min="6403" max="6403" width="20" customWidth="1"/>
    <col min="6404" max="6404" width="8.58203125" bestFit="1" customWidth="1"/>
    <col min="6405" max="6405" width="11" customWidth="1"/>
    <col min="6406" max="6406" width="14.5" customWidth="1"/>
    <col min="6407" max="6407" width="14" customWidth="1"/>
    <col min="6408" max="6408" width="8" customWidth="1"/>
    <col min="6409" max="6409" width="18.83203125" customWidth="1"/>
    <col min="6410" max="6410" width="20.83203125" customWidth="1"/>
    <col min="6411" max="6411" width="9.08203125" customWidth="1"/>
    <col min="6412" max="6412" width="5.58203125" customWidth="1"/>
    <col min="6413" max="6413" width="6.33203125" customWidth="1"/>
    <col min="6414" max="6414" width="11.83203125" customWidth="1"/>
    <col min="6416" max="6416" width="0" hidden="1" customWidth="1"/>
    <col min="6417" max="6417" width="17.58203125" customWidth="1"/>
    <col min="6418" max="6418" width="15" customWidth="1"/>
    <col min="6659" max="6659" width="20" customWidth="1"/>
    <col min="6660" max="6660" width="8.58203125" bestFit="1" customWidth="1"/>
    <col min="6661" max="6661" width="11" customWidth="1"/>
    <col min="6662" max="6662" width="14.5" customWidth="1"/>
    <col min="6663" max="6663" width="14" customWidth="1"/>
    <col min="6664" max="6664" width="8" customWidth="1"/>
    <col min="6665" max="6665" width="18.83203125" customWidth="1"/>
    <col min="6666" max="6666" width="20.83203125" customWidth="1"/>
    <col min="6667" max="6667" width="9.08203125" customWidth="1"/>
    <col min="6668" max="6668" width="5.58203125" customWidth="1"/>
    <col min="6669" max="6669" width="6.33203125" customWidth="1"/>
    <col min="6670" max="6670" width="11.83203125" customWidth="1"/>
    <col min="6672" max="6672" width="0" hidden="1" customWidth="1"/>
    <col min="6673" max="6673" width="17.58203125" customWidth="1"/>
    <col min="6674" max="6674" width="15" customWidth="1"/>
    <col min="6915" max="6915" width="20" customWidth="1"/>
    <col min="6916" max="6916" width="8.58203125" bestFit="1" customWidth="1"/>
    <col min="6917" max="6917" width="11" customWidth="1"/>
    <col min="6918" max="6918" width="14.5" customWidth="1"/>
    <col min="6919" max="6919" width="14" customWidth="1"/>
    <col min="6920" max="6920" width="8" customWidth="1"/>
    <col min="6921" max="6921" width="18.83203125" customWidth="1"/>
    <col min="6922" max="6922" width="20.83203125" customWidth="1"/>
    <col min="6923" max="6923" width="9.08203125" customWidth="1"/>
    <col min="6924" max="6924" width="5.58203125" customWidth="1"/>
    <col min="6925" max="6925" width="6.33203125" customWidth="1"/>
    <col min="6926" max="6926" width="11.83203125" customWidth="1"/>
    <col min="6928" max="6928" width="0" hidden="1" customWidth="1"/>
    <col min="6929" max="6929" width="17.58203125" customWidth="1"/>
    <col min="6930" max="6930" width="15" customWidth="1"/>
    <col min="7171" max="7171" width="20" customWidth="1"/>
    <col min="7172" max="7172" width="8.58203125" bestFit="1" customWidth="1"/>
    <col min="7173" max="7173" width="11" customWidth="1"/>
    <col min="7174" max="7174" width="14.5" customWidth="1"/>
    <col min="7175" max="7175" width="14" customWidth="1"/>
    <col min="7176" max="7176" width="8" customWidth="1"/>
    <col min="7177" max="7177" width="18.83203125" customWidth="1"/>
    <col min="7178" max="7178" width="20.83203125" customWidth="1"/>
    <col min="7179" max="7179" width="9.08203125" customWidth="1"/>
    <col min="7180" max="7180" width="5.58203125" customWidth="1"/>
    <col min="7181" max="7181" width="6.33203125" customWidth="1"/>
    <col min="7182" max="7182" width="11.83203125" customWidth="1"/>
    <col min="7184" max="7184" width="0" hidden="1" customWidth="1"/>
    <col min="7185" max="7185" width="17.58203125" customWidth="1"/>
    <col min="7186" max="7186" width="15" customWidth="1"/>
    <col min="7427" max="7427" width="20" customWidth="1"/>
    <col min="7428" max="7428" width="8.58203125" bestFit="1" customWidth="1"/>
    <col min="7429" max="7429" width="11" customWidth="1"/>
    <col min="7430" max="7430" width="14.5" customWidth="1"/>
    <col min="7431" max="7431" width="14" customWidth="1"/>
    <col min="7432" max="7432" width="8" customWidth="1"/>
    <col min="7433" max="7433" width="18.83203125" customWidth="1"/>
    <col min="7434" max="7434" width="20.83203125" customWidth="1"/>
    <col min="7435" max="7435" width="9.08203125" customWidth="1"/>
    <col min="7436" max="7436" width="5.58203125" customWidth="1"/>
    <col min="7437" max="7437" width="6.33203125" customWidth="1"/>
    <col min="7438" max="7438" width="11.83203125" customWidth="1"/>
    <col min="7440" max="7440" width="0" hidden="1" customWidth="1"/>
    <col min="7441" max="7441" width="17.58203125" customWidth="1"/>
    <col min="7442" max="7442" width="15" customWidth="1"/>
    <col min="7683" max="7683" width="20" customWidth="1"/>
    <col min="7684" max="7684" width="8.58203125" bestFit="1" customWidth="1"/>
    <col min="7685" max="7685" width="11" customWidth="1"/>
    <col min="7686" max="7686" width="14.5" customWidth="1"/>
    <col min="7687" max="7687" width="14" customWidth="1"/>
    <col min="7688" max="7688" width="8" customWidth="1"/>
    <col min="7689" max="7689" width="18.83203125" customWidth="1"/>
    <col min="7690" max="7690" width="20.83203125" customWidth="1"/>
    <col min="7691" max="7691" width="9.08203125" customWidth="1"/>
    <col min="7692" max="7692" width="5.58203125" customWidth="1"/>
    <col min="7693" max="7693" width="6.33203125" customWidth="1"/>
    <col min="7694" max="7694" width="11.83203125" customWidth="1"/>
    <col min="7696" max="7696" width="0" hidden="1" customWidth="1"/>
    <col min="7697" max="7697" width="17.58203125" customWidth="1"/>
    <col min="7698" max="7698" width="15" customWidth="1"/>
    <col min="7939" max="7939" width="20" customWidth="1"/>
    <col min="7940" max="7940" width="8.58203125" bestFit="1" customWidth="1"/>
    <col min="7941" max="7941" width="11" customWidth="1"/>
    <col min="7942" max="7942" width="14.5" customWidth="1"/>
    <col min="7943" max="7943" width="14" customWidth="1"/>
    <col min="7944" max="7944" width="8" customWidth="1"/>
    <col min="7945" max="7945" width="18.83203125" customWidth="1"/>
    <col min="7946" max="7946" width="20.83203125" customWidth="1"/>
    <col min="7947" max="7947" width="9.08203125" customWidth="1"/>
    <col min="7948" max="7948" width="5.58203125" customWidth="1"/>
    <col min="7949" max="7949" width="6.33203125" customWidth="1"/>
    <col min="7950" max="7950" width="11.83203125" customWidth="1"/>
    <col min="7952" max="7952" width="0" hidden="1" customWidth="1"/>
    <col min="7953" max="7953" width="17.58203125" customWidth="1"/>
    <col min="7954" max="7954" width="15" customWidth="1"/>
    <col min="8195" max="8195" width="20" customWidth="1"/>
    <col min="8196" max="8196" width="8.58203125" bestFit="1" customWidth="1"/>
    <col min="8197" max="8197" width="11" customWidth="1"/>
    <col min="8198" max="8198" width="14.5" customWidth="1"/>
    <col min="8199" max="8199" width="14" customWidth="1"/>
    <col min="8200" max="8200" width="8" customWidth="1"/>
    <col min="8201" max="8201" width="18.83203125" customWidth="1"/>
    <col min="8202" max="8202" width="20.83203125" customWidth="1"/>
    <col min="8203" max="8203" width="9.08203125" customWidth="1"/>
    <col min="8204" max="8204" width="5.58203125" customWidth="1"/>
    <col min="8205" max="8205" width="6.33203125" customWidth="1"/>
    <col min="8206" max="8206" width="11.83203125" customWidth="1"/>
    <col min="8208" max="8208" width="0" hidden="1" customWidth="1"/>
    <col min="8209" max="8209" width="17.58203125" customWidth="1"/>
    <col min="8210" max="8210" width="15" customWidth="1"/>
    <col min="8451" max="8451" width="20" customWidth="1"/>
    <col min="8452" max="8452" width="8.58203125" bestFit="1" customWidth="1"/>
    <col min="8453" max="8453" width="11" customWidth="1"/>
    <col min="8454" max="8454" width="14.5" customWidth="1"/>
    <col min="8455" max="8455" width="14" customWidth="1"/>
    <col min="8456" max="8456" width="8" customWidth="1"/>
    <col min="8457" max="8457" width="18.83203125" customWidth="1"/>
    <col min="8458" max="8458" width="20.83203125" customWidth="1"/>
    <col min="8459" max="8459" width="9.08203125" customWidth="1"/>
    <col min="8460" max="8460" width="5.58203125" customWidth="1"/>
    <col min="8461" max="8461" width="6.33203125" customWidth="1"/>
    <col min="8462" max="8462" width="11.83203125" customWidth="1"/>
    <col min="8464" max="8464" width="0" hidden="1" customWidth="1"/>
    <col min="8465" max="8465" width="17.58203125" customWidth="1"/>
    <col min="8466" max="8466" width="15" customWidth="1"/>
    <col min="8707" max="8707" width="20" customWidth="1"/>
    <col min="8708" max="8708" width="8.58203125" bestFit="1" customWidth="1"/>
    <col min="8709" max="8709" width="11" customWidth="1"/>
    <col min="8710" max="8710" width="14.5" customWidth="1"/>
    <col min="8711" max="8711" width="14" customWidth="1"/>
    <col min="8712" max="8712" width="8" customWidth="1"/>
    <col min="8713" max="8713" width="18.83203125" customWidth="1"/>
    <col min="8714" max="8714" width="20.83203125" customWidth="1"/>
    <col min="8715" max="8715" width="9.08203125" customWidth="1"/>
    <col min="8716" max="8716" width="5.58203125" customWidth="1"/>
    <col min="8717" max="8717" width="6.33203125" customWidth="1"/>
    <col min="8718" max="8718" width="11.83203125" customWidth="1"/>
    <col min="8720" max="8720" width="0" hidden="1" customWidth="1"/>
    <col min="8721" max="8721" width="17.58203125" customWidth="1"/>
    <col min="8722" max="8722" width="15" customWidth="1"/>
    <col min="8963" max="8963" width="20" customWidth="1"/>
    <col min="8964" max="8964" width="8.58203125" bestFit="1" customWidth="1"/>
    <col min="8965" max="8965" width="11" customWidth="1"/>
    <col min="8966" max="8966" width="14.5" customWidth="1"/>
    <col min="8967" max="8967" width="14" customWidth="1"/>
    <col min="8968" max="8968" width="8" customWidth="1"/>
    <col min="8969" max="8969" width="18.83203125" customWidth="1"/>
    <col min="8970" max="8970" width="20.83203125" customWidth="1"/>
    <col min="8971" max="8971" width="9.08203125" customWidth="1"/>
    <col min="8972" max="8972" width="5.58203125" customWidth="1"/>
    <col min="8973" max="8973" width="6.33203125" customWidth="1"/>
    <col min="8974" max="8974" width="11.83203125" customWidth="1"/>
    <col min="8976" max="8976" width="0" hidden="1" customWidth="1"/>
    <col min="8977" max="8977" width="17.58203125" customWidth="1"/>
    <col min="8978" max="8978" width="15" customWidth="1"/>
    <col min="9219" max="9219" width="20" customWidth="1"/>
    <col min="9220" max="9220" width="8.58203125" bestFit="1" customWidth="1"/>
    <col min="9221" max="9221" width="11" customWidth="1"/>
    <col min="9222" max="9222" width="14.5" customWidth="1"/>
    <col min="9223" max="9223" width="14" customWidth="1"/>
    <col min="9224" max="9224" width="8" customWidth="1"/>
    <col min="9225" max="9225" width="18.83203125" customWidth="1"/>
    <col min="9226" max="9226" width="20.83203125" customWidth="1"/>
    <col min="9227" max="9227" width="9.08203125" customWidth="1"/>
    <col min="9228" max="9228" width="5.58203125" customWidth="1"/>
    <col min="9229" max="9229" width="6.33203125" customWidth="1"/>
    <col min="9230" max="9230" width="11.83203125" customWidth="1"/>
    <col min="9232" max="9232" width="0" hidden="1" customWidth="1"/>
    <col min="9233" max="9233" width="17.58203125" customWidth="1"/>
    <col min="9234" max="9234" width="15" customWidth="1"/>
    <col min="9475" max="9475" width="20" customWidth="1"/>
    <col min="9476" max="9476" width="8.58203125" bestFit="1" customWidth="1"/>
    <col min="9477" max="9477" width="11" customWidth="1"/>
    <col min="9478" max="9478" width="14.5" customWidth="1"/>
    <col min="9479" max="9479" width="14" customWidth="1"/>
    <col min="9480" max="9480" width="8" customWidth="1"/>
    <col min="9481" max="9481" width="18.83203125" customWidth="1"/>
    <col min="9482" max="9482" width="20.83203125" customWidth="1"/>
    <col min="9483" max="9483" width="9.08203125" customWidth="1"/>
    <col min="9484" max="9484" width="5.58203125" customWidth="1"/>
    <col min="9485" max="9485" width="6.33203125" customWidth="1"/>
    <col min="9486" max="9486" width="11.83203125" customWidth="1"/>
    <col min="9488" max="9488" width="0" hidden="1" customWidth="1"/>
    <col min="9489" max="9489" width="17.58203125" customWidth="1"/>
    <col min="9490" max="9490" width="15" customWidth="1"/>
    <col min="9731" max="9731" width="20" customWidth="1"/>
    <col min="9732" max="9732" width="8.58203125" bestFit="1" customWidth="1"/>
    <col min="9733" max="9733" width="11" customWidth="1"/>
    <col min="9734" max="9734" width="14.5" customWidth="1"/>
    <col min="9735" max="9735" width="14" customWidth="1"/>
    <col min="9736" max="9736" width="8" customWidth="1"/>
    <col min="9737" max="9737" width="18.83203125" customWidth="1"/>
    <col min="9738" max="9738" width="20.83203125" customWidth="1"/>
    <col min="9739" max="9739" width="9.08203125" customWidth="1"/>
    <col min="9740" max="9740" width="5.58203125" customWidth="1"/>
    <col min="9741" max="9741" width="6.33203125" customWidth="1"/>
    <col min="9742" max="9742" width="11.83203125" customWidth="1"/>
    <col min="9744" max="9744" width="0" hidden="1" customWidth="1"/>
    <col min="9745" max="9745" width="17.58203125" customWidth="1"/>
    <col min="9746" max="9746" width="15" customWidth="1"/>
    <col min="9987" max="9987" width="20" customWidth="1"/>
    <col min="9988" max="9988" width="8.58203125" bestFit="1" customWidth="1"/>
    <col min="9989" max="9989" width="11" customWidth="1"/>
    <col min="9990" max="9990" width="14.5" customWidth="1"/>
    <col min="9991" max="9991" width="14" customWidth="1"/>
    <col min="9992" max="9992" width="8" customWidth="1"/>
    <col min="9993" max="9993" width="18.83203125" customWidth="1"/>
    <col min="9994" max="9994" width="20.83203125" customWidth="1"/>
    <col min="9995" max="9995" width="9.08203125" customWidth="1"/>
    <col min="9996" max="9996" width="5.58203125" customWidth="1"/>
    <col min="9997" max="9997" width="6.33203125" customWidth="1"/>
    <col min="9998" max="9998" width="11.83203125" customWidth="1"/>
    <col min="10000" max="10000" width="0" hidden="1" customWidth="1"/>
    <col min="10001" max="10001" width="17.58203125" customWidth="1"/>
    <col min="10002" max="10002" width="15" customWidth="1"/>
    <col min="10243" max="10243" width="20" customWidth="1"/>
    <col min="10244" max="10244" width="8.58203125" bestFit="1" customWidth="1"/>
    <col min="10245" max="10245" width="11" customWidth="1"/>
    <col min="10246" max="10246" width="14.5" customWidth="1"/>
    <col min="10247" max="10247" width="14" customWidth="1"/>
    <col min="10248" max="10248" width="8" customWidth="1"/>
    <col min="10249" max="10249" width="18.83203125" customWidth="1"/>
    <col min="10250" max="10250" width="20.83203125" customWidth="1"/>
    <col min="10251" max="10251" width="9.08203125" customWidth="1"/>
    <col min="10252" max="10252" width="5.58203125" customWidth="1"/>
    <col min="10253" max="10253" width="6.33203125" customWidth="1"/>
    <col min="10254" max="10254" width="11.83203125" customWidth="1"/>
    <col min="10256" max="10256" width="0" hidden="1" customWidth="1"/>
    <col min="10257" max="10257" width="17.58203125" customWidth="1"/>
    <col min="10258" max="10258" width="15" customWidth="1"/>
    <col min="10499" max="10499" width="20" customWidth="1"/>
    <col min="10500" max="10500" width="8.58203125" bestFit="1" customWidth="1"/>
    <col min="10501" max="10501" width="11" customWidth="1"/>
    <col min="10502" max="10502" width="14.5" customWidth="1"/>
    <col min="10503" max="10503" width="14" customWidth="1"/>
    <col min="10504" max="10504" width="8" customWidth="1"/>
    <col min="10505" max="10505" width="18.83203125" customWidth="1"/>
    <col min="10506" max="10506" width="20.83203125" customWidth="1"/>
    <col min="10507" max="10507" width="9.08203125" customWidth="1"/>
    <col min="10508" max="10508" width="5.58203125" customWidth="1"/>
    <col min="10509" max="10509" width="6.33203125" customWidth="1"/>
    <col min="10510" max="10510" width="11.83203125" customWidth="1"/>
    <col min="10512" max="10512" width="0" hidden="1" customWidth="1"/>
    <col min="10513" max="10513" width="17.58203125" customWidth="1"/>
    <col min="10514" max="10514" width="15" customWidth="1"/>
    <col min="10755" max="10755" width="20" customWidth="1"/>
    <col min="10756" max="10756" width="8.58203125" bestFit="1" customWidth="1"/>
    <col min="10757" max="10757" width="11" customWidth="1"/>
    <col min="10758" max="10758" width="14.5" customWidth="1"/>
    <col min="10759" max="10759" width="14" customWidth="1"/>
    <col min="10760" max="10760" width="8" customWidth="1"/>
    <col min="10761" max="10761" width="18.83203125" customWidth="1"/>
    <col min="10762" max="10762" width="20.83203125" customWidth="1"/>
    <col min="10763" max="10763" width="9.08203125" customWidth="1"/>
    <col min="10764" max="10764" width="5.58203125" customWidth="1"/>
    <col min="10765" max="10765" width="6.33203125" customWidth="1"/>
    <col min="10766" max="10766" width="11.83203125" customWidth="1"/>
    <col min="10768" max="10768" width="0" hidden="1" customWidth="1"/>
    <col min="10769" max="10769" width="17.58203125" customWidth="1"/>
    <col min="10770" max="10770" width="15" customWidth="1"/>
    <col min="11011" max="11011" width="20" customWidth="1"/>
    <col min="11012" max="11012" width="8.58203125" bestFit="1" customWidth="1"/>
    <col min="11013" max="11013" width="11" customWidth="1"/>
    <col min="11014" max="11014" width="14.5" customWidth="1"/>
    <col min="11015" max="11015" width="14" customWidth="1"/>
    <col min="11016" max="11016" width="8" customWidth="1"/>
    <col min="11017" max="11017" width="18.83203125" customWidth="1"/>
    <col min="11018" max="11018" width="20.83203125" customWidth="1"/>
    <col min="11019" max="11019" width="9.08203125" customWidth="1"/>
    <col min="11020" max="11020" width="5.58203125" customWidth="1"/>
    <col min="11021" max="11021" width="6.33203125" customWidth="1"/>
    <col min="11022" max="11022" width="11.83203125" customWidth="1"/>
    <col min="11024" max="11024" width="0" hidden="1" customWidth="1"/>
    <col min="11025" max="11025" width="17.58203125" customWidth="1"/>
    <col min="11026" max="11026" width="15" customWidth="1"/>
    <col min="11267" max="11267" width="20" customWidth="1"/>
    <col min="11268" max="11268" width="8.58203125" bestFit="1" customWidth="1"/>
    <col min="11269" max="11269" width="11" customWidth="1"/>
    <col min="11270" max="11270" width="14.5" customWidth="1"/>
    <col min="11271" max="11271" width="14" customWidth="1"/>
    <col min="11272" max="11272" width="8" customWidth="1"/>
    <col min="11273" max="11273" width="18.83203125" customWidth="1"/>
    <col min="11274" max="11274" width="20.83203125" customWidth="1"/>
    <col min="11275" max="11275" width="9.08203125" customWidth="1"/>
    <col min="11276" max="11276" width="5.58203125" customWidth="1"/>
    <col min="11277" max="11277" width="6.33203125" customWidth="1"/>
    <col min="11278" max="11278" width="11.83203125" customWidth="1"/>
    <col min="11280" max="11280" width="0" hidden="1" customWidth="1"/>
    <col min="11281" max="11281" width="17.58203125" customWidth="1"/>
    <col min="11282" max="11282" width="15" customWidth="1"/>
    <col min="11523" max="11523" width="20" customWidth="1"/>
    <col min="11524" max="11524" width="8.58203125" bestFit="1" customWidth="1"/>
    <col min="11525" max="11525" width="11" customWidth="1"/>
    <col min="11526" max="11526" width="14.5" customWidth="1"/>
    <col min="11527" max="11527" width="14" customWidth="1"/>
    <col min="11528" max="11528" width="8" customWidth="1"/>
    <col min="11529" max="11529" width="18.83203125" customWidth="1"/>
    <col min="11530" max="11530" width="20.83203125" customWidth="1"/>
    <col min="11531" max="11531" width="9.08203125" customWidth="1"/>
    <col min="11532" max="11532" width="5.58203125" customWidth="1"/>
    <col min="11533" max="11533" width="6.33203125" customWidth="1"/>
    <col min="11534" max="11534" width="11.83203125" customWidth="1"/>
    <col min="11536" max="11536" width="0" hidden="1" customWidth="1"/>
    <col min="11537" max="11537" width="17.58203125" customWidth="1"/>
    <col min="11538" max="11538" width="15" customWidth="1"/>
    <col min="11779" max="11779" width="20" customWidth="1"/>
    <col min="11780" max="11780" width="8.58203125" bestFit="1" customWidth="1"/>
    <col min="11781" max="11781" width="11" customWidth="1"/>
    <col min="11782" max="11782" width="14.5" customWidth="1"/>
    <col min="11783" max="11783" width="14" customWidth="1"/>
    <col min="11784" max="11784" width="8" customWidth="1"/>
    <col min="11785" max="11785" width="18.83203125" customWidth="1"/>
    <col min="11786" max="11786" width="20.83203125" customWidth="1"/>
    <col min="11787" max="11787" width="9.08203125" customWidth="1"/>
    <col min="11788" max="11788" width="5.58203125" customWidth="1"/>
    <col min="11789" max="11789" width="6.33203125" customWidth="1"/>
    <col min="11790" max="11790" width="11.83203125" customWidth="1"/>
    <col min="11792" max="11792" width="0" hidden="1" customWidth="1"/>
    <col min="11793" max="11793" width="17.58203125" customWidth="1"/>
    <col min="11794" max="11794" width="15" customWidth="1"/>
    <col min="12035" max="12035" width="20" customWidth="1"/>
    <col min="12036" max="12036" width="8.58203125" bestFit="1" customWidth="1"/>
    <col min="12037" max="12037" width="11" customWidth="1"/>
    <col min="12038" max="12038" width="14.5" customWidth="1"/>
    <col min="12039" max="12039" width="14" customWidth="1"/>
    <col min="12040" max="12040" width="8" customWidth="1"/>
    <col min="12041" max="12041" width="18.83203125" customWidth="1"/>
    <col min="12042" max="12042" width="20.83203125" customWidth="1"/>
    <col min="12043" max="12043" width="9.08203125" customWidth="1"/>
    <col min="12044" max="12044" width="5.58203125" customWidth="1"/>
    <col min="12045" max="12045" width="6.33203125" customWidth="1"/>
    <col min="12046" max="12046" width="11.83203125" customWidth="1"/>
    <col min="12048" max="12048" width="0" hidden="1" customWidth="1"/>
    <col min="12049" max="12049" width="17.58203125" customWidth="1"/>
    <col min="12050" max="12050" width="15" customWidth="1"/>
    <col min="12291" max="12291" width="20" customWidth="1"/>
    <col min="12292" max="12292" width="8.58203125" bestFit="1" customWidth="1"/>
    <col min="12293" max="12293" width="11" customWidth="1"/>
    <col min="12294" max="12294" width="14.5" customWidth="1"/>
    <col min="12295" max="12295" width="14" customWidth="1"/>
    <col min="12296" max="12296" width="8" customWidth="1"/>
    <col min="12297" max="12297" width="18.83203125" customWidth="1"/>
    <col min="12298" max="12298" width="20.83203125" customWidth="1"/>
    <col min="12299" max="12299" width="9.08203125" customWidth="1"/>
    <col min="12300" max="12300" width="5.58203125" customWidth="1"/>
    <col min="12301" max="12301" width="6.33203125" customWidth="1"/>
    <col min="12302" max="12302" width="11.83203125" customWidth="1"/>
    <col min="12304" max="12304" width="0" hidden="1" customWidth="1"/>
    <col min="12305" max="12305" width="17.58203125" customWidth="1"/>
    <col min="12306" max="12306" width="15" customWidth="1"/>
    <col min="12547" max="12547" width="20" customWidth="1"/>
    <col min="12548" max="12548" width="8.58203125" bestFit="1" customWidth="1"/>
    <col min="12549" max="12549" width="11" customWidth="1"/>
    <col min="12550" max="12550" width="14.5" customWidth="1"/>
    <col min="12551" max="12551" width="14" customWidth="1"/>
    <col min="12552" max="12552" width="8" customWidth="1"/>
    <col min="12553" max="12553" width="18.83203125" customWidth="1"/>
    <col min="12554" max="12554" width="20.83203125" customWidth="1"/>
    <col min="12555" max="12555" width="9.08203125" customWidth="1"/>
    <col min="12556" max="12556" width="5.58203125" customWidth="1"/>
    <col min="12557" max="12557" width="6.33203125" customWidth="1"/>
    <col min="12558" max="12558" width="11.83203125" customWidth="1"/>
    <col min="12560" max="12560" width="0" hidden="1" customWidth="1"/>
    <col min="12561" max="12561" width="17.58203125" customWidth="1"/>
    <col min="12562" max="12562" width="15" customWidth="1"/>
    <col min="12803" max="12803" width="20" customWidth="1"/>
    <col min="12804" max="12804" width="8.58203125" bestFit="1" customWidth="1"/>
    <col min="12805" max="12805" width="11" customWidth="1"/>
    <col min="12806" max="12806" width="14.5" customWidth="1"/>
    <col min="12807" max="12807" width="14" customWidth="1"/>
    <col min="12808" max="12808" width="8" customWidth="1"/>
    <col min="12809" max="12809" width="18.83203125" customWidth="1"/>
    <col min="12810" max="12810" width="20.83203125" customWidth="1"/>
    <col min="12811" max="12811" width="9.08203125" customWidth="1"/>
    <col min="12812" max="12812" width="5.58203125" customWidth="1"/>
    <col min="12813" max="12813" width="6.33203125" customWidth="1"/>
    <col min="12814" max="12814" width="11.83203125" customWidth="1"/>
    <col min="12816" max="12816" width="0" hidden="1" customWidth="1"/>
    <col min="12817" max="12817" width="17.58203125" customWidth="1"/>
    <col min="12818" max="12818" width="15" customWidth="1"/>
    <col min="13059" max="13059" width="20" customWidth="1"/>
    <col min="13060" max="13060" width="8.58203125" bestFit="1" customWidth="1"/>
    <col min="13061" max="13061" width="11" customWidth="1"/>
    <col min="13062" max="13062" width="14.5" customWidth="1"/>
    <col min="13063" max="13063" width="14" customWidth="1"/>
    <col min="13064" max="13064" width="8" customWidth="1"/>
    <col min="13065" max="13065" width="18.83203125" customWidth="1"/>
    <col min="13066" max="13066" width="20.83203125" customWidth="1"/>
    <col min="13067" max="13067" width="9.08203125" customWidth="1"/>
    <col min="13068" max="13068" width="5.58203125" customWidth="1"/>
    <col min="13069" max="13069" width="6.33203125" customWidth="1"/>
    <col min="13070" max="13070" width="11.83203125" customWidth="1"/>
    <col min="13072" max="13072" width="0" hidden="1" customWidth="1"/>
    <col min="13073" max="13073" width="17.58203125" customWidth="1"/>
    <col min="13074" max="13074" width="15" customWidth="1"/>
    <col min="13315" max="13315" width="20" customWidth="1"/>
    <col min="13316" max="13316" width="8.58203125" bestFit="1" customWidth="1"/>
    <col min="13317" max="13317" width="11" customWidth="1"/>
    <col min="13318" max="13318" width="14.5" customWidth="1"/>
    <col min="13319" max="13319" width="14" customWidth="1"/>
    <col min="13320" max="13320" width="8" customWidth="1"/>
    <col min="13321" max="13321" width="18.83203125" customWidth="1"/>
    <col min="13322" max="13322" width="20.83203125" customWidth="1"/>
    <col min="13323" max="13323" width="9.08203125" customWidth="1"/>
    <col min="13324" max="13324" width="5.58203125" customWidth="1"/>
    <col min="13325" max="13325" width="6.33203125" customWidth="1"/>
    <col min="13326" max="13326" width="11.83203125" customWidth="1"/>
    <col min="13328" max="13328" width="0" hidden="1" customWidth="1"/>
    <col min="13329" max="13329" width="17.58203125" customWidth="1"/>
    <col min="13330" max="13330" width="15" customWidth="1"/>
    <col min="13571" max="13571" width="20" customWidth="1"/>
    <col min="13572" max="13572" width="8.58203125" bestFit="1" customWidth="1"/>
    <col min="13573" max="13573" width="11" customWidth="1"/>
    <col min="13574" max="13574" width="14.5" customWidth="1"/>
    <col min="13575" max="13575" width="14" customWidth="1"/>
    <col min="13576" max="13576" width="8" customWidth="1"/>
    <col min="13577" max="13577" width="18.83203125" customWidth="1"/>
    <col min="13578" max="13578" width="20.83203125" customWidth="1"/>
    <col min="13579" max="13579" width="9.08203125" customWidth="1"/>
    <col min="13580" max="13580" width="5.58203125" customWidth="1"/>
    <col min="13581" max="13581" width="6.33203125" customWidth="1"/>
    <col min="13582" max="13582" width="11.83203125" customWidth="1"/>
    <col min="13584" max="13584" width="0" hidden="1" customWidth="1"/>
    <col min="13585" max="13585" width="17.58203125" customWidth="1"/>
    <col min="13586" max="13586" width="15" customWidth="1"/>
    <col min="13827" max="13827" width="20" customWidth="1"/>
    <col min="13828" max="13828" width="8.58203125" bestFit="1" customWidth="1"/>
    <col min="13829" max="13829" width="11" customWidth="1"/>
    <col min="13830" max="13830" width="14.5" customWidth="1"/>
    <col min="13831" max="13831" width="14" customWidth="1"/>
    <col min="13832" max="13832" width="8" customWidth="1"/>
    <col min="13833" max="13833" width="18.83203125" customWidth="1"/>
    <col min="13834" max="13834" width="20.83203125" customWidth="1"/>
    <col min="13835" max="13835" width="9.08203125" customWidth="1"/>
    <col min="13836" max="13836" width="5.58203125" customWidth="1"/>
    <col min="13837" max="13837" width="6.33203125" customWidth="1"/>
    <col min="13838" max="13838" width="11.83203125" customWidth="1"/>
    <col min="13840" max="13840" width="0" hidden="1" customWidth="1"/>
    <col min="13841" max="13841" width="17.58203125" customWidth="1"/>
    <col min="13842" max="13842" width="15" customWidth="1"/>
    <col min="14083" max="14083" width="20" customWidth="1"/>
    <col min="14084" max="14084" width="8.58203125" bestFit="1" customWidth="1"/>
    <col min="14085" max="14085" width="11" customWidth="1"/>
    <col min="14086" max="14086" width="14.5" customWidth="1"/>
    <col min="14087" max="14087" width="14" customWidth="1"/>
    <col min="14088" max="14088" width="8" customWidth="1"/>
    <col min="14089" max="14089" width="18.83203125" customWidth="1"/>
    <col min="14090" max="14090" width="20.83203125" customWidth="1"/>
    <col min="14091" max="14091" width="9.08203125" customWidth="1"/>
    <col min="14092" max="14092" width="5.58203125" customWidth="1"/>
    <col min="14093" max="14093" width="6.33203125" customWidth="1"/>
    <col min="14094" max="14094" width="11.83203125" customWidth="1"/>
    <col min="14096" max="14096" width="0" hidden="1" customWidth="1"/>
    <col min="14097" max="14097" width="17.58203125" customWidth="1"/>
    <col min="14098" max="14098" width="15" customWidth="1"/>
    <col min="14339" max="14339" width="20" customWidth="1"/>
    <col min="14340" max="14340" width="8.58203125" bestFit="1" customWidth="1"/>
    <col min="14341" max="14341" width="11" customWidth="1"/>
    <col min="14342" max="14342" width="14.5" customWidth="1"/>
    <col min="14343" max="14343" width="14" customWidth="1"/>
    <col min="14344" max="14344" width="8" customWidth="1"/>
    <col min="14345" max="14345" width="18.83203125" customWidth="1"/>
    <col min="14346" max="14346" width="20.83203125" customWidth="1"/>
    <col min="14347" max="14347" width="9.08203125" customWidth="1"/>
    <col min="14348" max="14348" width="5.58203125" customWidth="1"/>
    <col min="14349" max="14349" width="6.33203125" customWidth="1"/>
    <col min="14350" max="14350" width="11.83203125" customWidth="1"/>
    <col min="14352" max="14352" width="0" hidden="1" customWidth="1"/>
    <col min="14353" max="14353" width="17.58203125" customWidth="1"/>
    <col min="14354" max="14354" width="15" customWidth="1"/>
    <col min="14595" max="14595" width="20" customWidth="1"/>
    <col min="14596" max="14596" width="8.58203125" bestFit="1" customWidth="1"/>
    <col min="14597" max="14597" width="11" customWidth="1"/>
    <col min="14598" max="14598" width="14.5" customWidth="1"/>
    <col min="14599" max="14599" width="14" customWidth="1"/>
    <col min="14600" max="14600" width="8" customWidth="1"/>
    <col min="14601" max="14601" width="18.83203125" customWidth="1"/>
    <col min="14602" max="14602" width="20.83203125" customWidth="1"/>
    <col min="14603" max="14603" width="9.08203125" customWidth="1"/>
    <col min="14604" max="14604" width="5.58203125" customWidth="1"/>
    <col min="14605" max="14605" width="6.33203125" customWidth="1"/>
    <col min="14606" max="14606" width="11.83203125" customWidth="1"/>
    <col min="14608" max="14608" width="0" hidden="1" customWidth="1"/>
    <col min="14609" max="14609" width="17.58203125" customWidth="1"/>
    <col min="14610" max="14610" width="15" customWidth="1"/>
    <col min="14851" max="14851" width="20" customWidth="1"/>
    <col min="14852" max="14852" width="8.58203125" bestFit="1" customWidth="1"/>
    <col min="14853" max="14853" width="11" customWidth="1"/>
    <col min="14854" max="14854" width="14.5" customWidth="1"/>
    <col min="14855" max="14855" width="14" customWidth="1"/>
    <col min="14856" max="14856" width="8" customWidth="1"/>
    <col min="14857" max="14857" width="18.83203125" customWidth="1"/>
    <col min="14858" max="14858" width="20.83203125" customWidth="1"/>
    <col min="14859" max="14859" width="9.08203125" customWidth="1"/>
    <col min="14860" max="14860" width="5.58203125" customWidth="1"/>
    <col min="14861" max="14861" width="6.33203125" customWidth="1"/>
    <col min="14862" max="14862" width="11.83203125" customWidth="1"/>
    <col min="14864" max="14864" width="0" hidden="1" customWidth="1"/>
    <col min="14865" max="14865" width="17.58203125" customWidth="1"/>
    <col min="14866" max="14866" width="15" customWidth="1"/>
    <col min="15107" max="15107" width="20" customWidth="1"/>
    <col min="15108" max="15108" width="8.58203125" bestFit="1" customWidth="1"/>
    <col min="15109" max="15109" width="11" customWidth="1"/>
    <col min="15110" max="15110" width="14.5" customWidth="1"/>
    <col min="15111" max="15111" width="14" customWidth="1"/>
    <col min="15112" max="15112" width="8" customWidth="1"/>
    <col min="15113" max="15113" width="18.83203125" customWidth="1"/>
    <col min="15114" max="15114" width="20.83203125" customWidth="1"/>
    <col min="15115" max="15115" width="9.08203125" customWidth="1"/>
    <col min="15116" max="15116" width="5.58203125" customWidth="1"/>
    <col min="15117" max="15117" width="6.33203125" customWidth="1"/>
    <col min="15118" max="15118" width="11.83203125" customWidth="1"/>
    <col min="15120" max="15120" width="0" hidden="1" customWidth="1"/>
    <col min="15121" max="15121" width="17.58203125" customWidth="1"/>
    <col min="15122" max="15122" width="15" customWidth="1"/>
    <col min="15363" max="15363" width="20" customWidth="1"/>
    <col min="15364" max="15364" width="8.58203125" bestFit="1" customWidth="1"/>
    <col min="15365" max="15365" width="11" customWidth="1"/>
    <col min="15366" max="15366" width="14.5" customWidth="1"/>
    <col min="15367" max="15367" width="14" customWidth="1"/>
    <col min="15368" max="15368" width="8" customWidth="1"/>
    <col min="15369" max="15369" width="18.83203125" customWidth="1"/>
    <col min="15370" max="15370" width="20.83203125" customWidth="1"/>
    <col min="15371" max="15371" width="9.08203125" customWidth="1"/>
    <col min="15372" max="15372" width="5.58203125" customWidth="1"/>
    <col min="15373" max="15373" width="6.33203125" customWidth="1"/>
    <col min="15374" max="15374" width="11.83203125" customWidth="1"/>
    <col min="15376" max="15376" width="0" hidden="1" customWidth="1"/>
    <col min="15377" max="15377" width="17.58203125" customWidth="1"/>
    <col min="15378" max="15378" width="15" customWidth="1"/>
    <col min="15619" max="15619" width="20" customWidth="1"/>
    <col min="15620" max="15620" width="8.58203125" bestFit="1" customWidth="1"/>
    <col min="15621" max="15621" width="11" customWidth="1"/>
    <col min="15622" max="15622" width="14.5" customWidth="1"/>
    <col min="15623" max="15623" width="14" customWidth="1"/>
    <col min="15624" max="15624" width="8" customWidth="1"/>
    <col min="15625" max="15625" width="18.83203125" customWidth="1"/>
    <col min="15626" max="15626" width="20.83203125" customWidth="1"/>
    <col min="15627" max="15627" width="9.08203125" customWidth="1"/>
    <col min="15628" max="15628" width="5.58203125" customWidth="1"/>
    <col min="15629" max="15629" width="6.33203125" customWidth="1"/>
    <col min="15630" max="15630" width="11.83203125" customWidth="1"/>
    <col min="15632" max="15632" width="0" hidden="1" customWidth="1"/>
    <col min="15633" max="15633" width="17.58203125" customWidth="1"/>
    <col min="15634" max="15634" width="15" customWidth="1"/>
    <col min="15875" max="15875" width="20" customWidth="1"/>
    <col min="15876" max="15876" width="8.58203125" bestFit="1" customWidth="1"/>
    <col min="15877" max="15877" width="11" customWidth="1"/>
    <col min="15878" max="15878" width="14.5" customWidth="1"/>
    <col min="15879" max="15879" width="14" customWidth="1"/>
    <col min="15880" max="15880" width="8" customWidth="1"/>
    <col min="15881" max="15881" width="18.83203125" customWidth="1"/>
    <col min="15882" max="15882" width="20.83203125" customWidth="1"/>
    <col min="15883" max="15883" width="9.08203125" customWidth="1"/>
    <col min="15884" max="15884" width="5.58203125" customWidth="1"/>
    <col min="15885" max="15885" width="6.33203125" customWidth="1"/>
    <col min="15886" max="15886" width="11.83203125" customWidth="1"/>
    <col min="15888" max="15888" width="0" hidden="1" customWidth="1"/>
    <col min="15889" max="15889" width="17.58203125" customWidth="1"/>
    <col min="15890" max="15890" width="15" customWidth="1"/>
    <col min="16131" max="16131" width="20" customWidth="1"/>
    <col min="16132" max="16132" width="8.58203125" bestFit="1" customWidth="1"/>
    <col min="16133" max="16133" width="11" customWidth="1"/>
    <col min="16134" max="16134" width="14.5" customWidth="1"/>
    <col min="16135" max="16135" width="14" customWidth="1"/>
    <col min="16136" max="16136" width="8" customWidth="1"/>
    <col min="16137" max="16137" width="18.83203125" customWidth="1"/>
    <col min="16138" max="16138" width="20.83203125" customWidth="1"/>
    <col min="16139" max="16139" width="9.08203125" customWidth="1"/>
    <col min="16140" max="16140" width="5.58203125" customWidth="1"/>
    <col min="16141" max="16141" width="6.33203125" customWidth="1"/>
    <col min="16142" max="16142" width="11.83203125" customWidth="1"/>
    <col min="16144" max="16144" width="0" hidden="1" customWidth="1"/>
    <col min="16145" max="16145" width="17.58203125" customWidth="1"/>
    <col min="16146" max="16146" width="15" customWidth="1"/>
  </cols>
  <sheetData>
    <row r="2" spans="2:29" s="190" customFormat="1">
      <c r="B2" s="189"/>
      <c r="C2" s="189"/>
      <c r="E2" s="189"/>
      <c r="F2" s="191" t="s">
        <v>208</v>
      </c>
      <c r="G2" s="189"/>
      <c r="H2" s="189"/>
      <c r="I2" s="189"/>
      <c r="J2" s="189"/>
      <c r="K2" s="189"/>
      <c r="L2" s="189"/>
      <c r="M2" s="189"/>
      <c r="N2" s="189"/>
      <c r="O2" s="189"/>
      <c r="P2"/>
      <c r="Q2"/>
      <c r="R2"/>
      <c r="S2"/>
      <c r="T2"/>
      <c r="U2"/>
      <c r="V2"/>
      <c r="W2"/>
      <c r="X2"/>
      <c r="Y2"/>
      <c r="Z2"/>
      <c r="AA2"/>
      <c r="AB2"/>
      <c r="AC2"/>
    </row>
    <row r="3" spans="2:29" s="190" customFormat="1">
      <c r="B3" s="189"/>
      <c r="C3" s="189"/>
      <c r="E3" s="189"/>
      <c r="F3" s="191"/>
      <c r="G3" s="189"/>
      <c r="H3" s="189"/>
      <c r="I3" s="189"/>
      <c r="J3" s="189"/>
      <c r="K3" s="189"/>
      <c r="L3" s="189"/>
      <c r="M3" s="189"/>
      <c r="N3" s="189"/>
      <c r="O3" s="189"/>
      <c r="P3" s="308" t="s">
        <v>441</v>
      </c>
      <c r="Q3" s="308"/>
      <c r="R3" s="233"/>
      <c r="S3"/>
      <c r="T3"/>
      <c r="U3"/>
      <c r="V3"/>
      <c r="W3"/>
      <c r="X3"/>
      <c r="Y3"/>
      <c r="Z3"/>
      <c r="AA3"/>
      <c r="AB3"/>
      <c r="AC3"/>
    </row>
    <row r="4" spans="2:29" s="190" customFormat="1">
      <c r="B4" s="189"/>
      <c r="C4" s="189"/>
      <c r="E4" s="189"/>
      <c r="F4" s="191"/>
      <c r="G4" s="189"/>
      <c r="H4" s="189"/>
      <c r="I4" s="189"/>
      <c r="J4" s="189"/>
      <c r="K4" s="189"/>
      <c r="L4" s="189"/>
      <c r="M4" s="189"/>
      <c r="N4" s="189"/>
      <c r="O4" s="189"/>
      <c r="P4" s="233"/>
      <c r="Q4" s="233"/>
      <c r="R4" s="233"/>
      <c r="S4"/>
      <c r="T4"/>
      <c r="U4"/>
      <c r="V4"/>
      <c r="W4"/>
      <c r="X4"/>
      <c r="Y4"/>
      <c r="Z4"/>
      <c r="AA4"/>
      <c r="AB4"/>
      <c r="AC4"/>
    </row>
    <row r="5" spans="2:29" s="190" customFormat="1" ht="15.75" customHeight="1">
      <c r="B5" s="189"/>
      <c r="C5" s="189"/>
      <c r="E5" s="189"/>
      <c r="F5" s="192"/>
      <c r="G5" s="189"/>
      <c r="H5" s="189"/>
      <c r="I5" s="193"/>
      <c r="J5" s="931"/>
      <c r="K5" s="931"/>
      <c r="L5" s="189"/>
      <c r="M5" s="189"/>
      <c r="N5" s="189"/>
      <c r="O5" s="189"/>
      <c r="P5" s="192" t="s">
        <v>442</v>
      </c>
      <c r="Q5" s="192"/>
      <c r="R5" s="233"/>
      <c r="S5"/>
      <c r="T5"/>
      <c r="U5"/>
      <c r="V5"/>
      <c r="W5"/>
      <c r="X5"/>
      <c r="Y5"/>
      <c r="Z5"/>
      <c r="AA5"/>
      <c r="AB5"/>
      <c r="AC5"/>
    </row>
    <row r="6" spans="2:29" s="190" customFormat="1">
      <c r="B6" s="194"/>
      <c r="C6" s="189"/>
      <c r="E6" s="931" t="s">
        <v>352</v>
      </c>
      <c r="F6" s="931"/>
      <c r="G6" s="189"/>
      <c r="H6" s="189"/>
      <c r="I6" s="189"/>
      <c r="J6" s="189"/>
      <c r="K6" s="189"/>
      <c r="L6" s="189"/>
      <c r="M6" s="189"/>
      <c r="N6" s="189"/>
      <c r="O6" s="189" t="s">
        <v>353</v>
      </c>
      <c r="P6" s="233"/>
      <c r="Q6" s="233"/>
      <c r="R6" s="233"/>
      <c r="S6"/>
      <c r="T6"/>
      <c r="U6"/>
      <c r="V6"/>
      <c r="W6"/>
      <c r="X6"/>
      <c r="Y6"/>
      <c r="Z6"/>
      <c r="AA6"/>
      <c r="AB6"/>
      <c r="AC6"/>
    </row>
    <row r="7" spans="2:29" s="190" customFormat="1" ht="14.5">
      <c r="B7" s="195"/>
      <c r="C7" s="189"/>
      <c r="E7" s="931" t="s">
        <v>354</v>
      </c>
      <c r="F7" s="931"/>
      <c r="G7" s="191"/>
      <c r="H7" s="189"/>
      <c r="I7" s="189"/>
      <c r="J7" s="189"/>
      <c r="K7" s="189"/>
      <c r="L7" s="189"/>
      <c r="M7" s="189"/>
      <c r="N7" s="189"/>
      <c r="O7" s="189"/>
      <c r="P7" s="915" t="s">
        <v>358</v>
      </c>
      <c r="Q7" s="916"/>
      <c r="R7" s="929" t="s">
        <v>443</v>
      </c>
      <c r="S7" s="929"/>
      <c r="T7" s="929"/>
      <c r="U7" s="929"/>
      <c r="V7" s="929"/>
      <c r="W7" s="929"/>
      <c r="X7" s="929"/>
      <c r="Y7" s="929"/>
      <c r="Z7" s="929"/>
      <c r="AA7" s="929"/>
      <c r="AB7" s="929"/>
      <c r="AC7" s="929"/>
    </row>
    <row r="8" spans="2:29" s="190" customFormat="1" ht="14.5">
      <c r="B8" s="195"/>
      <c r="C8" s="189"/>
      <c r="E8" s="931" t="s">
        <v>355</v>
      </c>
      <c r="F8" s="931"/>
      <c r="G8" s="191"/>
      <c r="H8" s="189"/>
      <c r="I8" s="189"/>
      <c r="J8" s="189"/>
      <c r="K8" s="189"/>
      <c r="L8" s="189"/>
      <c r="M8" s="189"/>
      <c r="N8" s="189"/>
      <c r="O8" s="189"/>
      <c r="P8" s="917" t="s">
        <v>360</v>
      </c>
      <c r="Q8" s="918"/>
      <c r="R8" s="929" t="s">
        <v>444</v>
      </c>
      <c r="S8" s="929"/>
      <c r="T8" s="929"/>
      <c r="U8" s="929"/>
      <c r="V8" s="929"/>
      <c r="W8" s="929"/>
      <c r="X8" s="929"/>
      <c r="Y8" s="929"/>
      <c r="Z8" s="929"/>
      <c r="AA8" s="929"/>
      <c r="AB8" s="929"/>
      <c r="AC8" s="929"/>
    </row>
    <row r="9" spans="2:29" s="190" customFormat="1" ht="14.5">
      <c r="B9" s="195"/>
      <c r="C9" s="189"/>
      <c r="E9" s="302"/>
      <c r="F9" s="302"/>
      <c r="G9" s="191"/>
      <c r="H9" s="189"/>
      <c r="I9" s="189"/>
      <c r="J9" s="189"/>
      <c r="K9" s="189"/>
      <c r="L9" s="189"/>
      <c r="M9" s="189"/>
      <c r="N9" s="189"/>
      <c r="O9" s="189"/>
      <c r="P9" s="919" t="s">
        <v>362</v>
      </c>
      <c r="Q9" s="920"/>
      <c r="R9" s="929" t="s">
        <v>445</v>
      </c>
      <c r="S9" s="929"/>
      <c r="T9" s="929"/>
      <c r="U9" s="929"/>
      <c r="V9" s="929"/>
      <c r="W9" s="929"/>
      <c r="X9" s="929"/>
      <c r="Y9" s="929"/>
      <c r="Z9" s="929"/>
      <c r="AA9" s="929"/>
      <c r="AB9" s="929"/>
      <c r="AC9" s="929"/>
    </row>
    <row r="10" spans="2:29" s="190" customFormat="1" ht="15" thickBot="1">
      <c r="B10" s="196" t="s">
        <v>356</v>
      </c>
      <c r="C10" s="302"/>
      <c r="E10" s="189"/>
      <c r="F10" s="191"/>
      <c r="G10" s="932" t="s">
        <v>357</v>
      </c>
      <c r="H10" s="932"/>
      <c r="I10" s="189"/>
      <c r="J10" s="189"/>
      <c r="K10" s="189"/>
      <c r="L10" s="189"/>
      <c r="M10" s="189"/>
      <c r="N10" s="189"/>
      <c r="O10" s="189"/>
      <c r="P10" s="919" t="s">
        <v>364</v>
      </c>
      <c r="Q10" s="920"/>
      <c r="R10" s="929" t="s">
        <v>446</v>
      </c>
      <c r="S10" s="929"/>
      <c r="T10" s="929"/>
      <c r="U10" s="929"/>
      <c r="V10" s="929"/>
      <c r="W10" s="929"/>
      <c r="X10" s="929"/>
      <c r="Y10" s="929"/>
      <c r="Z10" s="929"/>
      <c r="AA10" s="929"/>
      <c r="AB10" s="929"/>
      <c r="AC10" s="929"/>
    </row>
    <row r="11" spans="2:29" s="190" customFormat="1" ht="15" thickTop="1">
      <c r="B11" s="197">
        <f ca="1">TRUNC(NOW())</f>
        <v>45751</v>
      </c>
      <c r="C11" s="192"/>
      <c r="E11" s="189"/>
      <c r="F11" s="191"/>
      <c r="G11" s="191"/>
      <c r="H11" s="305"/>
      <c r="I11" s="189"/>
      <c r="J11" s="189"/>
      <c r="K11" s="189"/>
      <c r="L11" s="189"/>
      <c r="M11" s="189"/>
      <c r="N11" s="189"/>
      <c r="O11" s="189"/>
      <c r="P11" s="919" t="s">
        <v>366</v>
      </c>
      <c r="Q11" s="920"/>
      <c r="R11" s="929" t="s">
        <v>447</v>
      </c>
      <c r="S11" s="929"/>
      <c r="T11" s="929"/>
      <c r="U11" s="929"/>
      <c r="V11" s="929"/>
      <c r="W11" s="929"/>
      <c r="X11" s="929"/>
      <c r="Y11" s="929"/>
      <c r="Z11" s="929"/>
      <c r="AA11" s="929"/>
      <c r="AB11" s="929"/>
      <c r="AC11" s="929"/>
    </row>
    <row r="12" spans="2:29" s="190" customFormat="1" ht="15" thickBot="1">
      <c r="B12" s="189"/>
      <c r="C12" s="189"/>
      <c r="D12" s="189"/>
      <c r="E12" s="189"/>
      <c r="F12" s="191"/>
      <c r="G12" s="191"/>
      <c r="H12" s="305"/>
      <c r="I12" s="189"/>
      <c r="J12" s="189"/>
      <c r="K12" s="189"/>
      <c r="L12" s="189"/>
      <c r="M12" s="189"/>
      <c r="N12" s="189"/>
      <c r="O12" s="189"/>
      <c r="P12" s="919" t="s">
        <v>368</v>
      </c>
      <c r="Q12" s="920"/>
      <c r="R12" s="929" t="s">
        <v>448</v>
      </c>
      <c r="S12" s="929"/>
      <c r="T12" s="929"/>
      <c r="U12" s="929"/>
      <c r="V12" s="929"/>
      <c r="W12" s="929"/>
      <c r="X12" s="929"/>
      <c r="Y12" s="929"/>
      <c r="Z12" s="929"/>
      <c r="AA12" s="929"/>
      <c r="AB12" s="929"/>
      <c r="AC12" s="929"/>
    </row>
    <row r="13" spans="2:29" s="190" customFormat="1" ht="15" thickTop="1">
      <c r="B13" s="198" t="s">
        <v>358</v>
      </c>
      <c r="C13" s="199"/>
      <c r="D13" s="200">
        <v>100</v>
      </c>
      <c r="E13" s="201"/>
      <c r="F13" s="202" t="s">
        <v>359</v>
      </c>
      <c r="G13" s="201"/>
      <c r="H13" s="203" t="e">
        <f>IF(OR(H20=#REF!,H20=#REF!,H20=#REF!),#REF!,#REF!)</f>
        <v>#REF!</v>
      </c>
      <c r="I13" s="189"/>
      <c r="J13" s="189"/>
      <c r="K13" s="189"/>
      <c r="L13" s="189"/>
      <c r="M13" s="189"/>
      <c r="N13" s="189"/>
      <c r="O13" s="189"/>
      <c r="P13" s="919" t="s">
        <v>449</v>
      </c>
      <c r="Q13" s="920"/>
      <c r="R13" s="929" t="s">
        <v>450</v>
      </c>
      <c r="S13" s="929"/>
      <c r="T13" s="929"/>
      <c r="U13" s="929"/>
      <c r="V13" s="929"/>
      <c r="W13" s="929"/>
      <c r="X13" s="929"/>
      <c r="Y13" s="929"/>
      <c r="Z13" s="929"/>
      <c r="AA13" s="929"/>
      <c r="AB13" s="929"/>
      <c r="AC13" s="929"/>
    </row>
    <row r="14" spans="2:29" s="190" customFormat="1" ht="14.5">
      <c r="B14" s="204" t="s">
        <v>360</v>
      </c>
      <c r="C14" s="205"/>
      <c r="D14" s="206">
        <v>1</v>
      </c>
      <c r="E14" s="189"/>
      <c r="F14" s="192" t="s">
        <v>361</v>
      </c>
      <c r="G14" s="189"/>
      <c r="H14" s="207">
        <v>0.28999999999999998</v>
      </c>
      <c r="I14" s="189"/>
      <c r="J14" s="189"/>
      <c r="K14" s="189"/>
      <c r="L14" s="189"/>
      <c r="M14" s="189"/>
      <c r="N14" s="189"/>
      <c r="O14" s="189"/>
      <c r="P14" s="917" t="s">
        <v>372</v>
      </c>
      <c r="Q14" s="918"/>
      <c r="R14" s="929" t="s">
        <v>451</v>
      </c>
      <c r="S14" s="929"/>
      <c r="T14" s="929"/>
      <c r="U14" s="929"/>
      <c r="V14" s="929"/>
      <c r="W14" s="929"/>
      <c r="X14" s="929"/>
      <c r="Y14" s="929"/>
      <c r="Z14" s="929"/>
      <c r="AA14" s="929"/>
      <c r="AB14" s="929"/>
      <c r="AC14" s="929"/>
    </row>
    <row r="15" spans="2:29" s="190" customFormat="1" ht="14.5">
      <c r="B15" s="208" t="s">
        <v>362</v>
      </c>
      <c r="C15" s="209"/>
      <c r="D15" s="210">
        <v>0</v>
      </c>
      <c r="E15" s="189"/>
      <c r="F15" s="192" t="s">
        <v>363</v>
      </c>
      <c r="G15" s="189"/>
      <c r="H15" s="306" t="e">
        <f>VLOOKUP(D22,#REF!,2,TRUE)</f>
        <v>#REF!</v>
      </c>
      <c r="I15" s="189"/>
      <c r="J15" s="189"/>
      <c r="K15" s="189"/>
      <c r="L15" s="189"/>
      <c r="M15" s="189"/>
      <c r="N15" s="189"/>
      <c r="O15" s="189"/>
      <c r="P15" s="919" t="s">
        <v>375</v>
      </c>
      <c r="Q15" s="920"/>
      <c r="R15" s="929" t="s">
        <v>452</v>
      </c>
      <c r="S15" s="929"/>
      <c r="T15" s="929"/>
      <c r="U15" s="929"/>
      <c r="V15" s="929"/>
      <c r="W15" s="929"/>
      <c r="X15" s="929"/>
      <c r="Y15" s="929"/>
      <c r="Z15" s="929"/>
      <c r="AA15" s="929"/>
      <c r="AB15" s="929"/>
      <c r="AC15" s="929"/>
    </row>
    <row r="16" spans="2:29" s="190" customFormat="1" ht="14.5">
      <c r="B16" s="208" t="s">
        <v>364</v>
      </c>
      <c r="C16" s="205"/>
      <c r="D16" s="211">
        <v>0.75</v>
      </c>
      <c r="E16" s="189"/>
      <c r="F16" s="195" t="s">
        <v>365</v>
      </c>
      <c r="G16" s="189"/>
      <c r="H16" s="212" t="e">
        <f>IF(OR(D21&lt;=7),#REF!,VLOOKUP(H20,#REF!,2,TRUE))</f>
        <v>#REF!</v>
      </c>
      <c r="I16" s="189"/>
      <c r="J16" s="189"/>
      <c r="K16" s="189"/>
      <c r="L16" s="189"/>
      <c r="M16" s="189"/>
      <c r="N16" s="189"/>
      <c r="O16" s="189"/>
      <c r="P16" s="921" t="s">
        <v>378</v>
      </c>
      <c r="Q16" s="922"/>
      <c r="R16" s="930" t="s">
        <v>453</v>
      </c>
      <c r="S16" s="930"/>
      <c r="T16" s="930"/>
      <c r="U16" s="930"/>
      <c r="V16" s="930"/>
      <c r="W16" s="930"/>
      <c r="X16" s="930"/>
      <c r="Y16" s="930"/>
      <c r="Z16" s="930"/>
      <c r="AA16" s="930"/>
      <c r="AB16" s="930"/>
      <c r="AC16" s="930"/>
    </row>
    <row r="17" spans="2:29" s="190" customFormat="1" ht="14.5">
      <c r="B17" s="208" t="s">
        <v>366</v>
      </c>
      <c r="C17" s="205"/>
      <c r="D17" s="213">
        <v>12</v>
      </c>
      <c r="E17" s="189"/>
      <c r="F17" s="214" t="s">
        <v>367</v>
      </c>
      <c r="G17" s="189"/>
      <c r="H17" s="215">
        <v>8.9300000000000004E-2</v>
      </c>
      <c r="I17" s="189"/>
      <c r="J17" s="189"/>
      <c r="K17" s="189"/>
      <c r="L17" s="189"/>
      <c r="M17" s="189"/>
      <c r="N17" s="189"/>
      <c r="O17" s="189"/>
      <c r="P17" s="923" t="s">
        <v>359</v>
      </c>
      <c r="Q17" s="924"/>
      <c r="R17" s="929" t="s">
        <v>454</v>
      </c>
      <c r="S17" s="929"/>
      <c r="T17" s="929"/>
      <c r="U17" s="929"/>
      <c r="V17" s="929"/>
      <c r="W17" s="929"/>
      <c r="X17" s="929"/>
      <c r="Y17" s="929"/>
      <c r="Z17" s="929"/>
      <c r="AA17" s="929"/>
      <c r="AB17" s="929"/>
      <c r="AC17" s="929"/>
    </row>
    <row r="18" spans="2:29" s="189" customFormat="1" ht="14.5">
      <c r="B18" s="208" t="s">
        <v>368</v>
      </c>
      <c r="C18" s="205"/>
      <c r="D18" s="216">
        <v>1</v>
      </c>
      <c r="F18" s="192" t="s">
        <v>369</v>
      </c>
      <c r="H18" s="212">
        <v>0.13</v>
      </c>
      <c r="P18" s="923" t="s">
        <v>361</v>
      </c>
      <c r="Q18" s="924"/>
      <c r="R18" s="929" t="s">
        <v>455</v>
      </c>
      <c r="S18" s="929"/>
      <c r="T18" s="929"/>
      <c r="U18" s="929"/>
      <c r="V18" s="929"/>
      <c r="W18" s="929"/>
      <c r="X18" s="929"/>
      <c r="Y18" s="929"/>
      <c r="Z18" s="929"/>
      <c r="AA18" s="929"/>
      <c r="AB18" s="929"/>
      <c r="AC18" s="929"/>
    </row>
    <row r="19" spans="2:29" s="189" customFormat="1" ht="14.5">
      <c r="B19" s="208" t="s">
        <v>370</v>
      </c>
      <c r="C19" s="209"/>
      <c r="D19" s="217">
        <v>0.63900000000000001</v>
      </c>
      <c r="F19" s="192" t="s">
        <v>371</v>
      </c>
      <c r="H19" s="307">
        <f>IF(D16/D18&gt;0.63,0.2,IF(D16/D18&gt;0.1,0.1,0))</f>
        <v>0.2</v>
      </c>
      <c r="I19" s="218"/>
      <c r="P19" s="923" t="s">
        <v>363</v>
      </c>
      <c r="Q19" s="924"/>
      <c r="R19" s="930" t="s">
        <v>456</v>
      </c>
      <c r="S19" s="930"/>
      <c r="T19" s="930"/>
      <c r="U19" s="930"/>
      <c r="V19" s="930"/>
      <c r="W19" s="930"/>
      <c r="X19" s="930"/>
      <c r="Y19" s="930"/>
      <c r="Z19" s="930"/>
      <c r="AA19" s="930"/>
      <c r="AB19" s="930"/>
      <c r="AC19" s="930"/>
    </row>
    <row r="20" spans="2:29" s="189" customFormat="1" ht="14.5">
      <c r="B20" s="204" t="s">
        <v>372</v>
      </c>
      <c r="C20" s="205"/>
      <c r="D20" s="219">
        <v>0</v>
      </c>
      <c r="F20" s="209" t="s">
        <v>373</v>
      </c>
      <c r="G20" s="209"/>
      <c r="H20" s="220" t="s">
        <v>374</v>
      </c>
      <c r="P20" s="925" t="s">
        <v>365</v>
      </c>
      <c r="Q20" s="926"/>
      <c r="R20" s="929" t="s">
        <v>456</v>
      </c>
      <c r="S20" s="929"/>
      <c r="T20" s="929"/>
      <c r="U20" s="929"/>
      <c r="V20" s="929"/>
      <c r="W20" s="929"/>
      <c r="X20" s="929"/>
      <c r="Y20" s="929"/>
      <c r="Z20" s="929"/>
      <c r="AA20" s="929"/>
      <c r="AB20" s="929"/>
      <c r="AC20" s="929"/>
    </row>
    <row r="21" spans="2:29" s="189" customFormat="1" ht="14.5">
      <c r="B21" s="208" t="s">
        <v>375</v>
      </c>
      <c r="C21" s="221"/>
      <c r="D21" s="222">
        <v>13</v>
      </c>
      <c r="F21" s="223" t="s">
        <v>376</v>
      </c>
      <c r="G21" s="205"/>
      <c r="H21" s="224" t="s">
        <v>377</v>
      </c>
      <c r="O21" s="225"/>
      <c r="P21" s="927" t="s">
        <v>367</v>
      </c>
      <c r="Q21" s="928"/>
      <c r="R21" s="929" t="s">
        <v>457</v>
      </c>
      <c r="S21" s="929"/>
      <c r="T21" s="929"/>
      <c r="U21" s="929"/>
      <c r="V21" s="929"/>
      <c r="W21" s="929"/>
      <c r="X21" s="929"/>
      <c r="Y21" s="929"/>
      <c r="Z21" s="929"/>
      <c r="AA21" s="929"/>
      <c r="AB21" s="929"/>
      <c r="AC21" s="929"/>
    </row>
    <row r="22" spans="2:29" s="189" customFormat="1" ht="15" thickBot="1">
      <c r="B22" s="226" t="s">
        <v>378</v>
      </c>
      <c r="C22" s="227"/>
      <c r="D22" s="228" t="s">
        <v>379</v>
      </c>
      <c r="E22" s="229"/>
      <c r="F22" s="230"/>
      <c r="G22" s="229"/>
      <c r="H22" s="231"/>
      <c r="O22" s="225"/>
      <c r="P22" s="923" t="s">
        <v>369</v>
      </c>
      <c r="Q22" s="924"/>
      <c r="R22" s="929" t="s">
        <v>458</v>
      </c>
      <c r="S22" s="929"/>
      <c r="T22" s="929"/>
      <c r="U22" s="929"/>
      <c r="V22" s="929"/>
      <c r="W22" s="929"/>
      <c r="X22" s="929"/>
      <c r="Y22" s="929"/>
      <c r="Z22" s="929"/>
      <c r="AA22" s="929"/>
      <c r="AB22" s="929"/>
      <c r="AC22" s="929"/>
    </row>
    <row r="23" spans="2:29" s="189" customFormat="1" ht="16" thickTop="1">
      <c r="B23" s="232"/>
      <c r="D23" s="190"/>
      <c r="F23" s="190"/>
      <c r="K23" s="233"/>
      <c r="P23" s="923" t="s">
        <v>371</v>
      </c>
      <c r="Q23" s="924"/>
      <c r="R23" s="929" t="s">
        <v>459</v>
      </c>
      <c r="S23" s="929"/>
      <c r="T23" s="929"/>
      <c r="U23" s="929"/>
      <c r="V23" s="929"/>
      <c r="W23" s="929"/>
      <c r="X23" s="929"/>
      <c r="Y23" s="929"/>
      <c r="Z23" s="929"/>
      <c r="AA23" s="929"/>
      <c r="AB23" s="929"/>
      <c r="AC23" s="929"/>
    </row>
    <row r="24" spans="2:29" s="189" customFormat="1">
      <c r="B24" s="189" t="s">
        <v>380</v>
      </c>
      <c r="C24" s="192"/>
      <c r="D24" s="190"/>
      <c r="F24" s="234">
        <f>ROUND((D13*D14),4)</f>
        <v>100</v>
      </c>
      <c r="G24" s="235"/>
      <c r="H24" s="236"/>
      <c r="K24" s="233"/>
      <c r="P24" s="915" t="s">
        <v>373</v>
      </c>
      <c r="Q24" s="916"/>
      <c r="R24" s="930" t="s">
        <v>460</v>
      </c>
      <c r="S24" s="930"/>
      <c r="T24" s="930"/>
      <c r="U24" s="930"/>
      <c r="V24" s="930"/>
      <c r="W24" s="930"/>
      <c r="X24" s="930"/>
      <c r="Y24" s="930"/>
      <c r="Z24" s="930"/>
      <c r="AA24" s="930"/>
      <c r="AB24" s="930"/>
      <c r="AC24" s="930"/>
    </row>
    <row r="25" spans="2:29" s="189" customFormat="1" ht="14.5">
      <c r="B25" s="189" t="s">
        <v>381</v>
      </c>
      <c r="D25" s="190"/>
      <c r="F25" s="237">
        <f>IF(D20=0.1228, ROUND(I48*D20,4),ROUND((D16*D17)*D20,4))</f>
        <v>0</v>
      </c>
      <c r="H25" s="238" t="s">
        <v>382</v>
      </c>
      <c r="I25" s="239"/>
      <c r="J25" s="239"/>
      <c r="K25" s="240"/>
      <c r="P25" s="915" t="s">
        <v>376</v>
      </c>
      <c r="Q25" s="916"/>
      <c r="R25" s="929" t="s">
        <v>461</v>
      </c>
      <c r="S25" s="929"/>
      <c r="T25" s="929"/>
      <c r="U25" s="929"/>
      <c r="V25" s="929"/>
      <c r="W25" s="929"/>
      <c r="X25" s="929"/>
      <c r="Y25" s="929"/>
      <c r="Z25" s="929"/>
      <c r="AA25" s="929"/>
      <c r="AB25" s="929"/>
      <c r="AC25" s="929"/>
    </row>
    <row r="26" spans="2:29" s="189" customFormat="1">
      <c r="B26" s="192" t="s">
        <v>383</v>
      </c>
      <c r="D26" s="190"/>
      <c r="F26" s="237">
        <f>ROUND((D16*D17)*(D19),4)</f>
        <v>5.7510000000000003</v>
      </c>
      <c r="G26" s="241"/>
      <c r="H26" s="242"/>
      <c r="I26" s="243"/>
      <c r="J26" s="243"/>
      <c r="K26" s="244"/>
      <c r="L26" s="193"/>
      <c r="P26" s="190"/>
      <c r="Q26" s="190"/>
      <c r="R26"/>
      <c r="S26"/>
      <c r="T26"/>
      <c r="U26"/>
      <c r="V26"/>
      <c r="W26"/>
      <c r="X26"/>
      <c r="Y26"/>
      <c r="Z26"/>
      <c r="AA26"/>
      <c r="AB26"/>
      <c r="AC26"/>
    </row>
    <row r="27" spans="2:29" s="189" customFormat="1">
      <c r="B27" s="192" t="s">
        <v>384</v>
      </c>
      <c r="C27" s="191"/>
      <c r="D27" s="245"/>
      <c r="E27" s="193"/>
      <c r="F27" s="246">
        <f>D15</f>
        <v>0</v>
      </c>
      <c r="G27" s="236"/>
      <c r="H27" s="247" t="s">
        <v>385</v>
      </c>
      <c r="I27" s="248" t="e">
        <f>F47</f>
        <v>#REF!</v>
      </c>
      <c r="J27" s="248"/>
      <c r="K27" s="244"/>
      <c r="L27" s="249"/>
      <c r="P27" s="190"/>
      <c r="Q27" s="190"/>
      <c r="R27"/>
      <c r="S27"/>
      <c r="T27"/>
      <c r="U27"/>
      <c r="V27"/>
      <c r="W27"/>
      <c r="X27"/>
      <c r="Y27"/>
      <c r="Z27"/>
      <c r="AA27"/>
      <c r="AB27"/>
      <c r="AC27"/>
    </row>
    <row r="28" spans="2:29" s="189" customFormat="1" ht="93">
      <c r="B28" s="192" t="s">
        <v>386</v>
      </c>
      <c r="D28" s="190"/>
      <c r="F28" s="234">
        <f>ROUND((+F24+F25+F26+F27),4)</f>
        <v>105.751</v>
      </c>
      <c r="G28" s="236"/>
      <c r="H28" s="242" t="s">
        <v>387</v>
      </c>
      <c r="I28" s="250" t="e">
        <f>SUM(I27*VLOOKUP(UPPER(H21),'11 LCBO'!J36:K37,2))</f>
        <v>#REF!</v>
      </c>
      <c r="J28" s="251"/>
      <c r="K28" s="244"/>
      <c r="L28" s="249"/>
      <c r="P28" s="309" t="s">
        <v>462</v>
      </c>
      <c r="Q28" s="309" t="s">
        <v>463</v>
      </c>
      <c r="R28" s="309" t="s">
        <v>464</v>
      </c>
      <c r="S28" s="309" t="s">
        <v>465</v>
      </c>
      <c r="T28"/>
      <c r="U28"/>
      <c r="V28"/>
      <c r="W28"/>
      <c r="X28"/>
      <c r="Y28"/>
      <c r="Z28"/>
      <c r="AA28"/>
      <c r="AB28"/>
      <c r="AC28"/>
    </row>
    <row r="29" spans="2:29" s="189" customFormat="1">
      <c r="B29" s="192" t="s">
        <v>388</v>
      </c>
      <c r="D29" s="190"/>
      <c r="F29" s="237" t="e">
        <f>ROUND((+F28*H16),4)</f>
        <v>#REF!</v>
      </c>
      <c r="G29" s="241"/>
      <c r="H29" s="242" t="s">
        <v>389</v>
      </c>
      <c r="I29" s="250" t="e">
        <f>SUM(I27-I28)</f>
        <v>#REF!</v>
      </c>
      <c r="J29" s="251"/>
      <c r="K29" s="244"/>
      <c r="L29" s="249"/>
      <c r="P29" s="310">
        <v>50</v>
      </c>
      <c r="Q29" s="311">
        <v>0.45</v>
      </c>
      <c r="R29" s="311">
        <v>0.35</v>
      </c>
      <c r="S29" s="311">
        <v>0.55000000000000004</v>
      </c>
      <c r="T29"/>
      <c r="U29"/>
      <c r="V29"/>
      <c r="W29"/>
      <c r="X29"/>
      <c r="Y29"/>
      <c r="Z29"/>
      <c r="AA29"/>
      <c r="AB29"/>
      <c r="AC29"/>
    </row>
    <row r="30" spans="2:29" s="189" customFormat="1">
      <c r="B30" s="192" t="s">
        <v>390</v>
      </c>
      <c r="D30" s="252"/>
      <c r="F30" s="246" t="e">
        <f>(+D17*D16)*H13</f>
        <v>#REF!</v>
      </c>
      <c r="G30" s="236"/>
      <c r="H30" s="253" t="s">
        <v>391</v>
      </c>
      <c r="I30" s="254" t="e">
        <f>SUM(I29*0.06)</f>
        <v>#REF!</v>
      </c>
      <c r="J30" s="255"/>
      <c r="K30" s="244"/>
      <c r="L30" s="249"/>
      <c r="P30" s="310">
        <v>200</v>
      </c>
      <c r="Q30" s="311">
        <v>1.9</v>
      </c>
      <c r="R30" s="311">
        <v>1.5</v>
      </c>
      <c r="S30" s="311">
        <v>2.2999999999999998</v>
      </c>
      <c r="T30"/>
      <c r="U30"/>
      <c r="V30"/>
      <c r="W30"/>
      <c r="X30"/>
      <c r="Y30"/>
      <c r="Z30"/>
      <c r="AA30"/>
      <c r="AB30"/>
      <c r="AC30"/>
    </row>
    <row r="31" spans="2:29" s="189" customFormat="1">
      <c r="B31" s="192" t="s">
        <v>392</v>
      </c>
      <c r="D31" s="190"/>
      <c r="F31" s="234" t="e">
        <f>SUM(F28:F30)</f>
        <v>#REF!</v>
      </c>
      <c r="G31" s="236"/>
      <c r="H31" s="253" t="s">
        <v>393</v>
      </c>
      <c r="I31" s="254" t="e">
        <f>ROUND((I27-I28+I30)*H18,2)</f>
        <v>#REF!</v>
      </c>
      <c r="J31" s="255"/>
      <c r="K31" s="244"/>
      <c r="L31" s="193"/>
      <c r="P31" s="310">
        <v>250</v>
      </c>
      <c r="Q31" s="311">
        <v>2.35</v>
      </c>
      <c r="R31" s="311">
        <v>1.85</v>
      </c>
      <c r="S31" s="311">
        <v>2.85</v>
      </c>
      <c r="T31"/>
      <c r="U31"/>
      <c r="V31"/>
      <c r="W31"/>
      <c r="X31"/>
      <c r="Y31"/>
      <c r="Z31"/>
      <c r="AA31"/>
      <c r="AB31"/>
      <c r="AC31"/>
    </row>
    <row r="32" spans="2:29" s="189" customFormat="1">
      <c r="D32" s="190"/>
      <c r="F32" s="237"/>
      <c r="G32" s="241"/>
      <c r="H32" s="256" t="s">
        <v>394</v>
      </c>
      <c r="I32" s="257">
        <f>F51</f>
        <v>0.2</v>
      </c>
      <c r="J32" s="255"/>
      <c r="K32" s="244"/>
      <c r="P32" s="310">
        <v>375</v>
      </c>
      <c r="Q32" s="311">
        <v>3.85</v>
      </c>
      <c r="R32" s="311">
        <v>3.1</v>
      </c>
      <c r="S32" s="311">
        <v>4.4000000000000004</v>
      </c>
      <c r="T32"/>
      <c r="U32"/>
      <c r="V32"/>
      <c r="W32"/>
      <c r="X32"/>
      <c r="Y32"/>
      <c r="Z32"/>
      <c r="AA32"/>
      <c r="AB32"/>
      <c r="AC32"/>
    </row>
    <row r="33" spans="2:29" s="189" customFormat="1">
      <c r="B33" s="192" t="s">
        <v>395</v>
      </c>
      <c r="D33" s="190"/>
      <c r="F33" s="234" t="e">
        <f>ROUND((+F31/D17),4)</f>
        <v>#REF!</v>
      </c>
      <c r="H33" s="258" t="s">
        <v>396</v>
      </c>
      <c r="I33" s="259" t="e">
        <f>SUM(I29:I32)</f>
        <v>#REF!</v>
      </c>
      <c r="J33" s="248"/>
      <c r="K33" s="244"/>
      <c r="L33" s="193"/>
      <c r="P33" s="310">
        <v>750</v>
      </c>
      <c r="Q33" s="311">
        <v>7.25</v>
      </c>
      <c r="R33" s="311">
        <v>5.8500000000000005</v>
      </c>
      <c r="S33" s="311">
        <v>8.5500000000000007</v>
      </c>
      <c r="T33"/>
      <c r="U33"/>
      <c r="V33"/>
      <c r="W33"/>
      <c r="X33"/>
      <c r="Y33"/>
      <c r="Z33"/>
      <c r="AA33"/>
      <c r="AB33"/>
      <c r="AC33"/>
    </row>
    <row r="34" spans="2:29" s="189" customFormat="1">
      <c r="B34" s="192" t="s">
        <v>397</v>
      </c>
      <c r="D34" s="190"/>
      <c r="F34" s="237">
        <f>H14*D16</f>
        <v>0.21749999999999997</v>
      </c>
      <c r="H34" s="258"/>
      <c r="I34" s="259"/>
      <c r="J34" s="248"/>
      <c r="K34" s="244"/>
      <c r="L34" s="193"/>
      <c r="M34"/>
      <c r="N34"/>
      <c r="O34"/>
      <c r="P34" s="310">
        <v>1000</v>
      </c>
      <c r="Q34" s="311">
        <v>9.3000000000000007</v>
      </c>
      <c r="R34" s="311">
        <v>7.45</v>
      </c>
      <c r="S34" s="311">
        <v>10.9</v>
      </c>
      <c r="T34"/>
      <c r="U34"/>
      <c r="V34"/>
      <c r="W34"/>
      <c r="X34"/>
      <c r="Y34"/>
      <c r="Z34"/>
      <c r="AA34"/>
      <c r="AB34"/>
      <c r="AC34"/>
    </row>
    <row r="35" spans="2:29" s="189" customFormat="1">
      <c r="B35" s="192" t="s">
        <v>398</v>
      </c>
      <c r="D35" s="190"/>
      <c r="F35" s="237" t="e">
        <f>ROUND(D16*H15,4)</f>
        <v>#REF!</v>
      </c>
      <c r="H35" s="256"/>
      <c r="K35" s="244"/>
      <c r="L35" s="193"/>
      <c r="M35"/>
      <c r="N35"/>
      <c r="O35"/>
      <c r="P35" s="310">
        <v>1500</v>
      </c>
      <c r="Q35" s="311">
        <v>13.3</v>
      </c>
      <c r="R35" s="311">
        <v>10.700000000000001</v>
      </c>
      <c r="S35" s="311">
        <v>15.75</v>
      </c>
      <c r="T35"/>
      <c r="U35"/>
      <c r="V35"/>
      <c r="W35"/>
      <c r="X35"/>
      <c r="Y35"/>
      <c r="Z35"/>
      <c r="AA35"/>
      <c r="AB35"/>
      <c r="AC35"/>
    </row>
    <row r="36" spans="2:29" s="189" customFormat="1">
      <c r="B36" s="192" t="s">
        <v>399</v>
      </c>
      <c r="D36" s="190"/>
      <c r="F36" s="260">
        <f>D18*H17</f>
        <v>8.9300000000000004E-2</v>
      </c>
      <c r="H36" s="261" t="s">
        <v>400</v>
      </c>
      <c r="J36" s="262" t="s">
        <v>401</v>
      </c>
      <c r="K36" s="263">
        <v>0.1</v>
      </c>
      <c r="L36" s="193"/>
      <c r="M36"/>
      <c r="N36"/>
      <c r="O36"/>
      <c r="P36" s="310">
        <v>2000</v>
      </c>
      <c r="Q36" s="311">
        <v>17.100000000000001</v>
      </c>
      <c r="R36" s="311">
        <v>13.75</v>
      </c>
      <c r="S36" s="311">
        <v>20.350000000000001</v>
      </c>
      <c r="T36"/>
      <c r="U36"/>
      <c r="V36"/>
      <c r="W36"/>
      <c r="X36"/>
      <c r="Y36"/>
      <c r="Z36"/>
      <c r="AA36"/>
      <c r="AB36"/>
      <c r="AC36"/>
    </row>
    <row r="37" spans="2:29" s="189" customFormat="1">
      <c r="B37" s="192" t="s">
        <v>402</v>
      </c>
      <c r="D37" s="190"/>
      <c r="F37" s="234" t="e">
        <f>F33+F34+F35+F36</f>
        <v>#REF!</v>
      </c>
      <c r="H37" s="261" t="s">
        <v>403</v>
      </c>
      <c r="J37" s="262" t="s">
        <v>377</v>
      </c>
      <c r="K37" s="263">
        <v>0.05</v>
      </c>
      <c r="M37"/>
      <c r="N37"/>
      <c r="O37"/>
      <c r="P37" s="310">
        <v>3000</v>
      </c>
      <c r="Q37" s="311">
        <v>25.05</v>
      </c>
      <c r="R37" s="311">
        <v>20.05</v>
      </c>
      <c r="S37" s="311">
        <v>29.900000000000002</v>
      </c>
      <c r="T37"/>
      <c r="U37"/>
      <c r="V37"/>
      <c r="W37"/>
      <c r="X37"/>
      <c r="Y37"/>
      <c r="Z37"/>
      <c r="AA37"/>
      <c r="AB37"/>
      <c r="AC37"/>
    </row>
    <row r="38" spans="2:29" s="189" customFormat="1">
      <c r="B38" s="192" t="s">
        <v>404</v>
      </c>
      <c r="D38" s="190"/>
      <c r="F38" s="246" t="e">
        <f>ROUND(+F37*H18,4)</f>
        <v>#REF!</v>
      </c>
      <c r="H38" s="264"/>
      <c r="I38" s="265"/>
      <c r="J38" s="265"/>
      <c r="K38" s="266"/>
      <c r="L38" s="193"/>
      <c r="M38"/>
      <c r="N38"/>
      <c r="O38"/>
      <c r="P38" s="310">
        <v>4000</v>
      </c>
      <c r="Q38" s="311">
        <v>32.65</v>
      </c>
      <c r="R38" s="311">
        <v>26.1</v>
      </c>
      <c r="S38" s="311">
        <v>39.1</v>
      </c>
      <c r="T38"/>
      <c r="U38"/>
      <c r="V38"/>
      <c r="W38"/>
      <c r="X38"/>
      <c r="Y38"/>
      <c r="Z38"/>
      <c r="AA38"/>
      <c r="AB38"/>
      <c r="AC38"/>
    </row>
    <row r="39" spans="2:29" s="189" customFormat="1">
      <c r="B39" s="192" t="s">
        <v>405</v>
      </c>
      <c r="D39" s="190"/>
      <c r="F39" s="234" t="e">
        <f>SUM(F37:F38)</f>
        <v>#REF!</v>
      </c>
      <c r="H39" s="241"/>
      <c r="K39" s="193"/>
      <c r="L39" s="193"/>
      <c r="M39"/>
      <c r="N39"/>
      <c r="O39"/>
      <c r="P39" s="310">
        <v>6000</v>
      </c>
      <c r="Q39" s="311">
        <v>48.300000000000004</v>
      </c>
      <c r="R39" s="311">
        <v>38.6</v>
      </c>
      <c r="S39" s="311">
        <v>58.2</v>
      </c>
      <c r="T39"/>
      <c r="U39"/>
      <c r="V39"/>
      <c r="W39"/>
      <c r="X39"/>
      <c r="Y39"/>
      <c r="Z39"/>
      <c r="AA39"/>
      <c r="AB39"/>
      <c r="AC39"/>
    </row>
    <row r="40" spans="2:29" s="189" customFormat="1" hidden="1">
      <c r="D40" s="190"/>
      <c r="F40" s="190"/>
      <c r="H40" s="236"/>
      <c r="K40" s="267"/>
      <c r="M40"/>
      <c r="N40"/>
      <c r="O40"/>
      <c r="P40"/>
      <c r="Q40"/>
      <c r="R40" s="310">
        <v>8000</v>
      </c>
      <c r="S40" s="311">
        <v>59.85</v>
      </c>
      <c r="T40" s="311">
        <v>47.800000000000004</v>
      </c>
      <c r="U40" s="311">
        <v>72.2</v>
      </c>
      <c r="V40"/>
      <c r="W40"/>
      <c r="X40"/>
      <c r="Y40"/>
      <c r="Z40"/>
      <c r="AA40"/>
      <c r="AB40"/>
      <c r="AC40"/>
    </row>
    <row r="41" spans="2:29" s="189" customFormat="1" hidden="1">
      <c r="D41" s="190"/>
      <c r="F41" s="190"/>
      <c r="H41" s="236"/>
      <c r="L41" s="193"/>
      <c r="M41"/>
      <c r="N41"/>
      <c r="O41"/>
      <c r="P41"/>
      <c r="Q41"/>
      <c r="R41" s="310">
        <v>10000</v>
      </c>
      <c r="S41" s="311">
        <v>72.05</v>
      </c>
      <c r="T41" s="311">
        <v>57.550000000000004</v>
      </c>
      <c r="U41" s="311">
        <v>87.15</v>
      </c>
      <c r="V41"/>
      <c r="W41"/>
      <c r="X41"/>
      <c r="Y41"/>
      <c r="Z41"/>
      <c r="AA41"/>
      <c r="AB41"/>
      <c r="AC41"/>
    </row>
    <row r="42" spans="2:29" s="189" customFormat="1" hidden="1">
      <c r="B42" s="192" t="s">
        <v>406</v>
      </c>
      <c r="D42" s="190"/>
      <c r="F42" s="190" t="e">
        <f>F47-F43</f>
        <v>#REF!</v>
      </c>
      <c r="H42" s="241"/>
      <c r="K42" s="193"/>
      <c r="M42"/>
      <c r="N42"/>
      <c r="O42"/>
      <c r="P42"/>
      <c r="Q42"/>
      <c r="R42" s="310">
        <v>16000</v>
      </c>
      <c r="S42" s="311">
        <v>86.9</v>
      </c>
      <c r="T42" s="311">
        <v>68.2</v>
      </c>
      <c r="U42" s="311">
        <v>112.85000000000001</v>
      </c>
      <c r="V42"/>
      <c r="W42"/>
      <c r="X42"/>
      <c r="Y42"/>
      <c r="Z42"/>
      <c r="AA42"/>
      <c r="AB42"/>
      <c r="AC42"/>
    </row>
    <row r="43" spans="2:29" s="189" customFormat="1" hidden="1">
      <c r="B43" s="192" t="s">
        <v>407</v>
      </c>
      <c r="D43" s="190"/>
      <c r="F43" s="260">
        <f>ROUND(+F34+F36,4)</f>
        <v>0.30680000000000002</v>
      </c>
      <c r="M43"/>
      <c r="N43"/>
      <c r="O43"/>
      <c r="P43"/>
      <c r="Q43"/>
      <c r="R43" s="310">
        <v>18000</v>
      </c>
      <c r="S43" s="311">
        <v>94.800000000000011</v>
      </c>
      <c r="T43" s="311">
        <v>74.25</v>
      </c>
      <c r="U43" s="311">
        <v>123.95</v>
      </c>
      <c r="V43"/>
      <c r="W43"/>
      <c r="X43"/>
      <c r="Y43"/>
      <c r="Z43"/>
      <c r="AA43"/>
      <c r="AB43"/>
      <c r="AC43"/>
    </row>
    <row r="44" spans="2:29" s="189" customFormat="1" hidden="1">
      <c r="D44" s="190"/>
      <c r="F44" s="237" t="e">
        <f>ROUND(+F42+F43,4)</f>
        <v>#REF!</v>
      </c>
      <c r="M44"/>
      <c r="N44"/>
      <c r="O44"/>
      <c r="P44"/>
      <c r="Q44"/>
      <c r="R44" s="310">
        <v>20000</v>
      </c>
      <c r="S44" s="311">
        <v>103.30000000000001</v>
      </c>
      <c r="T44" s="311">
        <v>80.7</v>
      </c>
      <c r="U44" s="311">
        <v>135.65</v>
      </c>
      <c r="V44"/>
      <c r="W44"/>
      <c r="X44"/>
      <c r="Y44"/>
      <c r="Z44"/>
      <c r="AA44"/>
      <c r="AB44"/>
      <c r="AC44"/>
    </row>
    <row r="45" spans="2:29" s="189" customFormat="1" hidden="1">
      <c r="D45" s="190"/>
      <c r="F45" s="237"/>
      <c r="M45"/>
      <c r="N45"/>
      <c r="O45"/>
      <c r="P45"/>
      <c r="Q45"/>
      <c r="R45" s="310">
        <v>50000</v>
      </c>
      <c r="S45" s="311">
        <v>254.4</v>
      </c>
      <c r="T45" s="311">
        <v>198.60000000000002</v>
      </c>
      <c r="U45" s="311">
        <v>335.3</v>
      </c>
      <c r="V45"/>
      <c r="W45"/>
      <c r="X45"/>
      <c r="Y45"/>
      <c r="Z45"/>
      <c r="AA45"/>
      <c r="AB45"/>
      <c r="AC45"/>
    </row>
    <row r="46" spans="2:29" s="189" customFormat="1" hidden="1">
      <c r="B46" s="191" t="s">
        <v>408</v>
      </c>
      <c r="D46" s="190"/>
      <c r="F46" s="237"/>
      <c r="G46" s="236"/>
      <c r="L46" s="193"/>
      <c r="M46"/>
      <c r="N46"/>
      <c r="O46"/>
      <c r="P46"/>
      <c r="Q46"/>
      <c r="R46"/>
      <c r="S46"/>
      <c r="T46"/>
      <c r="U46"/>
      <c r="V46"/>
      <c r="W46"/>
      <c r="X46"/>
      <c r="Y46"/>
      <c r="Z46"/>
      <c r="AA46"/>
      <c r="AB46"/>
      <c r="AC46"/>
    </row>
    <row r="47" spans="2:29" s="189" customFormat="1" hidden="1">
      <c r="B47" s="190" t="s">
        <v>406</v>
      </c>
      <c r="D47" s="190"/>
      <c r="F47" s="268" t="e">
        <f>F49-F48</f>
        <v>#REF!</v>
      </c>
      <c r="L47" s="269"/>
      <c r="M47"/>
      <c r="N47"/>
      <c r="O47"/>
      <c r="P47"/>
      <c r="Q47"/>
      <c r="R47"/>
      <c r="S47"/>
      <c r="T47"/>
      <c r="U47"/>
      <c r="V47"/>
      <c r="W47"/>
      <c r="X47"/>
      <c r="Y47"/>
      <c r="Z47"/>
      <c r="AA47"/>
      <c r="AB47"/>
      <c r="AC47"/>
    </row>
    <row r="48" spans="2:29" s="189" customFormat="1">
      <c r="B48" s="190" t="s">
        <v>404</v>
      </c>
      <c r="D48" s="190"/>
      <c r="F48" s="270" t="e">
        <f>ROUND((F49/113)*H18*100,2)</f>
        <v>#REF!</v>
      </c>
      <c r="H48" s="271" t="s">
        <v>409</v>
      </c>
      <c r="I48" s="272">
        <f>+ROUND(((D16*D17)*D21)/100,4)</f>
        <v>1.17</v>
      </c>
      <c r="M48"/>
      <c r="N48"/>
      <c r="O48"/>
      <c r="P48"/>
      <c r="Q48"/>
      <c r="R48"/>
      <c r="S48"/>
      <c r="T48"/>
      <c r="U48"/>
      <c r="V48"/>
      <c r="W48"/>
      <c r="X48"/>
      <c r="Y48"/>
      <c r="Z48"/>
      <c r="AA48"/>
      <c r="AB48"/>
      <c r="AC48"/>
    </row>
    <row r="49" spans="2:29" s="189" customFormat="1">
      <c r="B49" s="190" t="s">
        <v>410</v>
      </c>
      <c r="D49" s="190"/>
      <c r="F49" s="273" t="e">
        <f>IF('11 LCBO'!F60&lt;H16,'11 LCBO'!F68+0.05,'11 LCBO'!F68)</f>
        <v>#REF!</v>
      </c>
      <c r="M49"/>
      <c r="N49"/>
      <c r="O49"/>
      <c r="P49"/>
      <c r="Q49"/>
      <c r="R49"/>
      <c r="S49"/>
      <c r="T49"/>
      <c r="U49"/>
      <c r="V49"/>
      <c r="W49"/>
      <c r="X49"/>
      <c r="Y49"/>
      <c r="Z49"/>
      <c r="AA49"/>
      <c r="AB49"/>
      <c r="AC49"/>
    </row>
    <row r="50" spans="2:29" s="189" customFormat="1">
      <c r="D50" s="190"/>
      <c r="F50" s="190"/>
      <c r="P50" s="190"/>
      <c r="Q50" s="190"/>
      <c r="R50"/>
      <c r="S50"/>
      <c r="T50"/>
      <c r="U50"/>
      <c r="V50"/>
      <c r="W50"/>
      <c r="X50"/>
      <c r="Y50"/>
      <c r="Z50"/>
      <c r="AA50"/>
      <c r="AB50"/>
      <c r="AC50"/>
    </row>
    <row r="51" spans="2:29" s="189" customFormat="1">
      <c r="B51" s="192"/>
      <c r="D51" s="190"/>
      <c r="E51" s="192" t="s">
        <v>394</v>
      </c>
      <c r="F51" s="274">
        <f>D18*H19</f>
        <v>0.2</v>
      </c>
      <c r="G51" s="193"/>
      <c r="P51" s="190"/>
      <c r="Q51" s="190"/>
      <c r="R51"/>
      <c r="S51"/>
      <c r="T51"/>
      <c r="U51"/>
      <c r="V51"/>
      <c r="W51"/>
      <c r="X51"/>
      <c r="Y51"/>
      <c r="Z51"/>
      <c r="AA51"/>
      <c r="AB51"/>
      <c r="AC51"/>
    </row>
    <row r="52" spans="2:29" s="189" customFormat="1" ht="16" thickBot="1">
      <c r="D52" s="190"/>
      <c r="F52" s="190"/>
      <c r="P52" s="190"/>
      <c r="Q52" s="190"/>
      <c r="R52"/>
      <c r="S52"/>
      <c r="T52"/>
      <c r="U52"/>
      <c r="V52"/>
      <c r="W52"/>
      <c r="X52"/>
      <c r="Y52"/>
      <c r="Z52"/>
      <c r="AA52"/>
      <c r="AB52"/>
      <c r="AC52"/>
    </row>
    <row r="53" spans="2:29" s="189" customFormat="1" ht="16" thickBot="1">
      <c r="D53" s="190"/>
      <c r="E53" s="275" t="s">
        <v>411</v>
      </c>
      <c r="F53" s="276" t="e">
        <f>SUM(F49+F51)</f>
        <v>#REF!</v>
      </c>
      <c r="P53" s="190"/>
      <c r="Q53" s="190"/>
      <c r="R53"/>
      <c r="S53"/>
      <c r="T53"/>
      <c r="U53"/>
      <c r="V53"/>
      <c r="W53"/>
      <c r="X53"/>
      <c r="Y53"/>
      <c r="Z53"/>
      <c r="AA53"/>
      <c r="AB53"/>
      <c r="AC53"/>
    </row>
    <row r="54" spans="2:29" s="189" customFormat="1" hidden="1">
      <c r="D54" s="190"/>
      <c r="F54" s="190"/>
      <c r="P54" s="190"/>
      <c r="Q54" s="190"/>
      <c r="R54"/>
      <c r="S54"/>
      <c r="T54"/>
      <c r="U54"/>
      <c r="V54"/>
      <c r="W54"/>
      <c r="X54"/>
      <c r="Y54"/>
      <c r="Z54"/>
      <c r="AA54"/>
      <c r="AB54"/>
      <c r="AC54"/>
    </row>
    <row r="55" spans="2:29" s="189" customFormat="1" hidden="1">
      <c r="D55" s="302"/>
      <c r="E55" s="194" t="s">
        <v>412</v>
      </c>
      <c r="F55" s="277" t="e">
        <f>ROUND(((+F42*D17-F30)/F28-1),4)</f>
        <v>#REF!</v>
      </c>
      <c r="P55" s="190"/>
      <c r="Q55" s="190"/>
      <c r="R55"/>
      <c r="S55"/>
      <c r="T55"/>
      <c r="U55"/>
      <c r="V55"/>
      <c r="W55"/>
      <c r="X55"/>
      <c r="Y55"/>
      <c r="Z55"/>
      <c r="AA55"/>
      <c r="AB55"/>
      <c r="AC55"/>
    </row>
    <row r="56" spans="2:29" s="189" customFormat="1" hidden="1">
      <c r="D56" s="190"/>
      <c r="E56" s="194" t="s">
        <v>413</v>
      </c>
      <c r="F56" s="278" t="e">
        <f>ROUND(+F47-(F28/D17),2)</f>
        <v>#REF!</v>
      </c>
      <c r="G56" s="191"/>
      <c r="P56" s="190"/>
      <c r="Q56" s="190"/>
      <c r="R56"/>
      <c r="S56"/>
      <c r="T56"/>
      <c r="U56"/>
      <c r="V56"/>
      <c r="W56"/>
      <c r="X56"/>
      <c r="Y56"/>
      <c r="Z56"/>
      <c r="AA56"/>
      <c r="AB56"/>
      <c r="AC56"/>
    </row>
    <row r="57" spans="2:29" s="189" customFormat="1" hidden="1">
      <c r="D57" s="190"/>
      <c r="E57" s="194" t="s">
        <v>414</v>
      </c>
      <c r="F57" s="279" t="e">
        <f>ROUND(+F56/F37,3)</f>
        <v>#REF!</v>
      </c>
      <c r="P57" s="190"/>
      <c r="Q57" s="190"/>
      <c r="R57"/>
      <c r="S57"/>
      <c r="T57"/>
      <c r="U57"/>
      <c r="V57"/>
      <c r="W57"/>
      <c r="X57"/>
      <c r="Y57"/>
      <c r="Z57"/>
      <c r="AA57"/>
      <c r="AB57"/>
      <c r="AC57"/>
    </row>
    <row r="58" spans="2:29" s="189" customFormat="1" hidden="1">
      <c r="D58" s="190"/>
      <c r="F58" s="192"/>
      <c r="G58" s="280" t="e">
        <f>ROUND(+F47-(F28/D17),2)</f>
        <v>#REF!</v>
      </c>
      <c r="P58" s="190"/>
      <c r="Q58" s="190"/>
      <c r="R58"/>
      <c r="S58"/>
      <c r="T58"/>
      <c r="U58"/>
      <c r="V58"/>
      <c r="W58"/>
      <c r="X58"/>
      <c r="Y58"/>
      <c r="Z58"/>
      <c r="AA58"/>
      <c r="AB58"/>
      <c r="AC58"/>
    </row>
    <row r="59" spans="2:29" s="189" customFormat="1" hidden="1">
      <c r="D59" s="190"/>
      <c r="F59" s="192"/>
      <c r="P59" s="190"/>
      <c r="Q59" s="190"/>
      <c r="R59"/>
      <c r="S59"/>
      <c r="T59"/>
      <c r="U59"/>
      <c r="V59"/>
      <c r="W59"/>
      <c r="X59"/>
      <c r="Y59"/>
      <c r="Z59"/>
      <c r="AA59"/>
      <c r="AB59"/>
      <c r="AC59"/>
    </row>
    <row r="60" spans="2:29" s="189" customFormat="1" hidden="1">
      <c r="B60" s="281" t="s">
        <v>415</v>
      </c>
      <c r="C60" s="282"/>
      <c r="D60" s="190"/>
      <c r="F60" s="283" t="e">
        <f>ROUND((((F66-F36-F34-F35)*D17-F30)/F28-1),4)</f>
        <v>#REF!</v>
      </c>
      <c r="P60" s="190"/>
      <c r="Q60" s="190"/>
      <c r="R60"/>
      <c r="S60"/>
      <c r="T60"/>
      <c r="U60"/>
      <c r="V60"/>
      <c r="W60"/>
      <c r="X60"/>
      <c r="Y60"/>
      <c r="Z60"/>
      <c r="AA60"/>
      <c r="AB60"/>
      <c r="AC60"/>
    </row>
    <row r="61" spans="2:29" s="189" customFormat="1" hidden="1">
      <c r="B61" s="284"/>
      <c r="D61" s="190"/>
      <c r="F61" s="192"/>
      <c r="P61" s="190"/>
      <c r="Q61" s="190"/>
      <c r="R61"/>
      <c r="S61"/>
      <c r="T61"/>
      <c r="U61"/>
      <c r="V61"/>
      <c r="W61"/>
      <c r="X61"/>
      <c r="Y61"/>
      <c r="Z61"/>
      <c r="AA61"/>
      <c r="AB61"/>
      <c r="AC61"/>
    </row>
    <row r="62" spans="2:29" s="189" customFormat="1" hidden="1">
      <c r="D62" s="190"/>
      <c r="F62" s="192"/>
      <c r="P62" s="190"/>
      <c r="Q62" s="190"/>
      <c r="R62"/>
      <c r="S62"/>
      <c r="T62"/>
      <c r="U62"/>
      <c r="V62"/>
      <c r="W62"/>
      <c r="X62"/>
      <c r="Y62"/>
      <c r="Z62"/>
      <c r="AA62"/>
      <c r="AB62"/>
      <c r="AC62"/>
    </row>
    <row r="63" spans="2:29" s="189" customFormat="1" hidden="1">
      <c r="B63" s="302"/>
      <c r="C63" s="285"/>
      <c r="E63" s="192"/>
      <c r="F63" s="190"/>
      <c r="P63" s="190"/>
      <c r="Q63" s="190"/>
      <c r="R63"/>
      <c r="S63"/>
      <c r="T63"/>
      <c r="U63"/>
      <c r="V63"/>
      <c r="W63"/>
      <c r="X63"/>
      <c r="Y63"/>
      <c r="Z63"/>
      <c r="AA63"/>
      <c r="AB63"/>
      <c r="AC63"/>
    </row>
    <row r="64" spans="2:29" s="189" customFormat="1" hidden="1">
      <c r="B64" s="286" t="s">
        <v>377</v>
      </c>
      <c r="F64" s="190"/>
      <c r="P64" s="190"/>
      <c r="Q64" s="190"/>
      <c r="R64"/>
      <c r="S64"/>
      <c r="T64"/>
      <c r="U64"/>
      <c r="V64"/>
      <c r="W64"/>
      <c r="X64"/>
      <c r="Y64"/>
      <c r="Z64"/>
      <c r="AA64"/>
      <c r="AB64"/>
      <c r="AC64"/>
    </row>
    <row r="65" spans="2:29" s="189" customFormat="1" hidden="1">
      <c r="B65" s="192" t="s">
        <v>401</v>
      </c>
      <c r="N65" s="190"/>
      <c r="R65"/>
      <c r="S65"/>
      <c r="T65"/>
      <c r="U65"/>
      <c r="V65"/>
      <c r="W65"/>
      <c r="X65"/>
      <c r="Y65"/>
      <c r="Z65"/>
      <c r="AA65"/>
      <c r="AB65"/>
      <c r="AC65"/>
    </row>
    <row r="66" spans="2:29" s="189" customFormat="1" hidden="1">
      <c r="B66" s="287"/>
      <c r="F66" s="288" t="e">
        <f>F68-F67</f>
        <v>#REF!</v>
      </c>
      <c r="G66" s="189" t="s">
        <v>416</v>
      </c>
      <c r="N66" s="190"/>
      <c r="R66"/>
      <c r="S66"/>
      <c r="T66"/>
      <c r="U66"/>
      <c r="V66"/>
      <c r="W66"/>
      <c r="X66"/>
      <c r="Y66"/>
      <c r="Z66"/>
      <c r="AA66"/>
      <c r="AB66"/>
      <c r="AC66"/>
    </row>
    <row r="67" spans="2:29" s="189" customFormat="1" hidden="1">
      <c r="F67" s="289" t="e">
        <f>ROUND(F68*'11 LCBO'!H18/(1+'11 LCBO'!H18),2)</f>
        <v>#REF!</v>
      </c>
      <c r="G67" s="189" t="s">
        <v>417</v>
      </c>
      <c r="N67" s="190"/>
      <c r="R67"/>
      <c r="S67"/>
      <c r="T67"/>
      <c r="U67"/>
      <c r="V67"/>
      <c r="W67"/>
      <c r="X67"/>
      <c r="Y67"/>
      <c r="Z67"/>
      <c r="AA67"/>
      <c r="AB67"/>
      <c r="AC67"/>
    </row>
    <row r="68" spans="2:29" s="189" customFormat="1" hidden="1">
      <c r="B68" s="236"/>
      <c r="F68" s="290" t="e">
        <f>IF(MOD('11 LCBO'!F39*1000,50)&gt;24.99,CEILING('11 LCBO'!F39,0.05),FLOOR('11 LCBO'!F39,0.05))</f>
        <v>#REF!</v>
      </c>
      <c r="G68" s="189" t="s">
        <v>418</v>
      </c>
      <c r="N68" s="190"/>
      <c r="R68"/>
      <c r="S68"/>
      <c r="T68"/>
      <c r="U68"/>
      <c r="V68"/>
      <c r="W68"/>
      <c r="X68"/>
      <c r="Y68"/>
      <c r="Z68"/>
      <c r="AA68"/>
      <c r="AB68"/>
      <c r="AC68"/>
    </row>
    <row r="69" spans="2:29" s="189" customFormat="1" hidden="1">
      <c r="B69" s="287"/>
      <c r="N69" s="190"/>
      <c r="R69"/>
      <c r="S69"/>
      <c r="T69"/>
      <c r="U69"/>
      <c r="V69"/>
      <c r="W69"/>
      <c r="X69"/>
      <c r="Y69"/>
      <c r="Z69"/>
      <c r="AA69"/>
      <c r="AB69"/>
      <c r="AC69"/>
    </row>
    <row r="70" spans="2:29" s="189" customFormat="1" hidden="1">
      <c r="F70" s="291"/>
      <c r="P70" s="190"/>
      <c r="Q70" s="190"/>
      <c r="R70"/>
      <c r="S70"/>
      <c r="T70"/>
      <c r="U70"/>
      <c r="V70"/>
      <c r="W70"/>
      <c r="X70"/>
      <c r="Y70"/>
      <c r="Z70"/>
      <c r="AA70"/>
      <c r="AB70"/>
      <c r="AC70"/>
    </row>
    <row r="71" spans="2:29" s="189" customFormat="1" hidden="1">
      <c r="B71" s="292" t="s">
        <v>374</v>
      </c>
      <c r="F71" s="291" t="e">
        <f>ROUND((((F37-F36-F34-F35)*D17-F30)/F28-1),4)</f>
        <v>#REF!</v>
      </c>
      <c r="P71" s="190"/>
      <c r="Q71" s="190"/>
      <c r="R71"/>
      <c r="S71"/>
      <c r="T71"/>
      <c r="U71"/>
      <c r="V71"/>
      <c r="W71"/>
      <c r="X71"/>
      <c r="Y71"/>
      <c r="Z71"/>
      <c r="AA71"/>
      <c r="AB71"/>
      <c r="AC71"/>
    </row>
    <row r="72" spans="2:29" s="189" customFormat="1" hidden="1">
      <c r="B72" s="292" t="s">
        <v>419</v>
      </c>
      <c r="F72" s="192"/>
      <c r="H72" s="189">
        <v>63.25</v>
      </c>
      <c r="P72" s="190"/>
      <c r="Q72" s="190"/>
      <c r="R72"/>
      <c r="S72"/>
      <c r="T72"/>
      <c r="U72"/>
      <c r="V72"/>
      <c r="W72"/>
      <c r="X72"/>
      <c r="Y72"/>
      <c r="Z72"/>
      <c r="AA72"/>
      <c r="AB72"/>
      <c r="AC72"/>
    </row>
    <row r="73" spans="2:29" s="189" customFormat="1" hidden="1">
      <c r="B73" s="292" t="s">
        <v>420</v>
      </c>
      <c r="F73" s="192"/>
      <c r="P73" s="190"/>
      <c r="Q73" s="190"/>
      <c r="R73"/>
      <c r="S73"/>
      <c r="T73"/>
      <c r="U73"/>
      <c r="V73"/>
      <c r="W73"/>
      <c r="X73"/>
      <c r="Y73"/>
      <c r="Z73"/>
      <c r="AA73"/>
      <c r="AB73"/>
      <c r="AC73"/>
    </row>
    <row r="74" spans="2:29" s="189" customFormat="1" hidden="1">
      <c r="B74" s="292" t="s">
        <v>421</v>
      </c>
      <c r="F74" s="192"/>
      <c r="P74" s="190"/>
      <c r="Q74" s="190"/>
      <c r="R74"/>
      <c r="S74"/>
      <c r="T74"/>
      <c r="U74"/>
      <c r="V74"/>
      <c r="W74"/>
      <c r="X74"/>
      <c r="Y74"/>
      <c r="Z74"/>
      <c r="AA74"/>
      <c r="AB74"/>
      <c r="AC74"/>
    </row>
    <row r="75" spans="2:29" s="189" customFormat="1" hidden="1">
      <c r="B75" s="233"/>
      <c r="F75" s="192"/>
      <c r="P75" s="190"/>
      <c r="Q75" s="190"/>
      <c r="R75"/>
      <c r="S75"/>
      <c r="T75"/>
      <c r="U75"/>
      <c r="V75"/>
      <c r="W75"/>
      <c r="X75"/>
      <c r="Y75"/>
      <c r="Z75"/>
      <c r="AA75"/>
      <c r="AB75"/>
      <c r="AC75"/>
    </row>
    <row r="76" spans="2:29" s="189" customFormat="1" hidden="1">
      <c r="B76" s="293" t="s">
        <v>379</v>
      </c>
      <c r="F76" s="192"/>
      <c r="P76" s="190"/>
      <c r="Q76" s="190"/>
      <c r="R76"/>
      <c r="S76"/>
      <c r="T76"/>
      <c r="U76"/>
      <c r="V76"/>
      <c r="W76"/>
      <c r="X76"/>
      <c r="Y76"/>
      <c r="Z76"/>
      <c r="AA76"/>
      <c r="AB76"/>
      <c r="AC76"/>
    </row>
    <row r="77" spans="2:29" s="189" customFormat="1" hidden="1">
      <c r="B77" s="294" t="s">
        <v>422</v>
      </c>
      <c r="F77" s="192"/>
      <c r="P77" s="190"/>
      <c r="Q77" s="190"/>
      <c r="R77"/>
      <c r="S77"/>
      <c r="T77"/>
      <c r="U77"/>
      <c r="V77"/>
      <c r="W77"/>
      <c r="X77"/>
      <c r="Y77"/>
      <c r="Z77"/>
      <c r="AA77"/>
      <c r="AB77"/>
      <c r="AC77"/>
    </row>
    <row r="78" spans="2:29" s="189" customFormat="1" hidden="1">
      <c r="B78" s="294" t="s">
        <v>423</v>
      </c>
      <c r="F78" s="192"/>
      <c r="P78" s="190"/>
      <c r="Q78" s="190"/>
      <c r="R78"/>
      <c r="S78"/>
      <c r="T78"/>
      <c r="U78"/>
      <c r="V78"/>
      <c r="W78"/>
      <c r="X78"/>
      <c r="Y78"/>
      <c r="Z78"/>
      <c r="AA78"/>
      <c r="AB78"/>
      <c r="AC78"/>
    </row>
    <row r="79" spans="2:29" s="189" customFormat="1" hidden="1">
      <c r="B79" s="294" t="s">
        <v>61</v>
      </c>
      <c r="F79" s="192"/>
      <c r="P79" s="190"/>
      <c r="Q79" s="190"/>
      <c r="R79"/>
      <c r="S79"/>
      <c r="T79"/>
      <c r="U79"/>
      <c r="V79"/>
      <c r="W79"/>
      <c r="X79"/>
      <c r="Y79"/>
      <c r="Z79"/>
      <c r="AA79"/>
      <c r="AB79"/>
      <c r="AC79"/>
    </row>
    <row r="80" spans="2:29" s="189" customFormat="1" hidden="1">
      <c r="B80" s="193"/>
      <c r="F80" s="192"/>
      <c r="P80" s="190"/>
      <c r="Q80" s="190"/>
      <c r="R80"/>
      <c r="S80"/>
      <c r="T80"/>
      <c r="U80"/>
      <c r="V80"/>
      <c r="W80"/>
      <c r="X80"/>
      <c r="Y80"/>
      <c r="Z80"/>
      <c r="AA80"/>
      <c r="AB80"/>
      <c r="AC80"/>
    </row>
    <row r="81" spans="2:29" s="189" customFormat="1" hidden="1">
      <c r="F81" s="192"/>
      <c r="P81" s="190"/>
      <c r="Q81" s="190"/>
      <c r="R81"/>
      <c r="S81"/>
      <c r="T81"/>
      <c r="U81"/>
      <c r="V81"/>
      <c r="W81"/>
      <c r="X81"/>
      <c r="Y81"/>
      <c r="Z81"/>
      <c r="AA81"/>
      <c r="AB81"/>
      <c r="AC81"/>
    </row>
    <row r="82" spans="2:29" s="189" customFormat="1" hidden="1">
      <c r="B82" s="295"/>
      <c r="E82"/>
      <c r="F82"/>
      <c r="G82"/>
      <c r="H82"/>
      <c r="I82"/>
      <c r="J82"/>
      <c r="K82"/>
      <c r="L82"/>
      <c r="M82"/>
      <c r="N82"/>
      <c r="O82"/>
      <c r="P82"/>
      <c r="Q82"/>
      <c r="R82"/>
      <c r="S82"/>
      <c r="T82"/>
      <c r="U82"/>
      <c r="V82"/>
      <c r="W82"/>
      <c r="X82"/>
      <c r="Y82"/>
      <c r="Z82"/>
      <c r="AA82"/>
      <c r="AB82"/>
      <c r="AC82"/>
    </row>
    <row r="83" spans="2:29" s="189" customFormat="1" hidden="1">
      <c r="E83"/>
      <c r="F83"/>
      <c r="G83"/>
      <c r="H83"/>
      <c r="I83"/>
      <c r="J83"/>
      <c r="K83"/>
      <c r="L83"/>
      <c r="M83"/>
      <c r="N83"/>
      <c r="O83"/>
      <c r="P83"/>
      <c r="Q83"/>
      <c r="R83"/>
      <c r="S83"/>
      <c r="T83"/>
      <c r="U83"/>
      <c r="V83"/>
      <c r="W83"/>
      <c r="X83"/>
      <c r="Y83"/>
      <c r="Z83"/>
      <c r="AA83"/>
      <c r="AB83"/>
      <c r="AC83"/>
    </row>
    <row r="84" spans="2:29" s="189" customFormat="1" hidden="1">
      <c r="B84" s="296"/>
      <c r="E84"/>
      <c r="F84"/>
      <c r="G84"/>
      <c r="H84"/>
      <c r="I84"/>
      <c r="J84"/>
      <c r="K84"/>
      <c r="L84"/>
      <c r="M84"/>
      <c r="N84"/>
      <c r="O84"/>
      <c r="P84"/>
      <c r="Q84"/>
      <c r="R84"/>
      <c r="S84"/>
      <c r="T84"/>
      <c r="U84"/>
      <c r="V84"/>
      <c r="W84"/>
      <c r="X84"/>
      <c r="Y84"/>
      <c r="Z84"/>
      <c r="AA84"/>
      <c r="AB84"/>
      <c r="AC84"/>
    </row>
    <row r="85" spans="2:29" s="189" customFormat="1" hidden="1">
      <c r="D85" s="190"/>
      <c r="E85"/>
      <c r="F85"/>
      <c r="G85"/>
      <c r="H85"/>
      <c r="I85"/>
      <c r="J85"/>
      <c r="K85"/>
      <c r="L85"/>
      <c r="M85"/>
      <c r="N85"/>
      <c r="O85"/>
      <c r="P85"/>
      <c r="Q85"/>
      <c r="R85"/>
      <c r="S85"/>
      <c r="T85"/>
      <c r="U85"/>
      <c r="V85"/>
      <c r="W85"/>
      <c r="X85"/>
      <c r="Y85"/>
      <c r="Z85"/>
      <c r="AA85"/>
      <c r="AB85"/>
      <c r="AC85"/>
    </row>
    <row r="86" spans="2:29" s="189" customFormat="1" hidden="1">
      <c r="D86" s="190"/>
      <c r="E86"/>
      <c r="F86"/>
      <c r="G86"/>
      <c r="H86"/>
      <c r="I86"/>
      <c r="J86"/>
      <c r="K86"/>
      <c r="L86"/>
      <c r="M86"/>
      <c r="N86"/>
      <c r="O86"/>
      <c r="P86"/>
      <c r="Q86"/>
      <c r="R86"/>
      <c r="S86"/>
      <c r="T86"/>
      <c r="U86"/>
      <c r="V86"/>
      <c r="W86"/>
      <c r="X86"/>
      <c r="Y86"/>
      <c r="Z86"/>
      <c r="AA86"/>
      <c r="AB86"/>
      <c r="AC86"/>
    </row>
    <row r="87" spans="2:29" s="189" customFormat="1" hidden="1">
      <c r="D87" s="190"/>
      <c r="E87"/>
      <c r="F87"/>
      <c r="G87"/>
      <c r="H87"/>
      <c r="I87"/>
      <c r="J87"/>
      <c r="K87"/>
      <c r="L87"/>
      <c r="M87"/>
      <c r="N87"/>
      <c r="O87"/>
      <c r="P87"/>
      <c r="Q87"/>
      <c r="R87"/>
      <c r="S87"/>
      <c r="T87"/>
      <c r="U87"/>
      <c r="V87"/>
      <c r="W87"/>
      <c r="X87"/>
      <c r="Y87"/>
      <c r="Z87"/>
      <c r="AA87"/>
      <c r="AB87"/>
      <c r="AC87"/>
    </row>
    <row r="88" spans="2:29" s="189" customFormat="1" hidden="1">
      <c r="D88" s="190"/>
      <c r="E88"/>
      <c r="F88"/>
      <c r="G88"/>
      <c r="H88"/>
      <c r="I88"/>
      <c r="J88"/>
      <c r="K88"/>
      <c r="L88"/>
      <c r="M88"/>
      <c r="N88"/>
      <c r="O88"/>
      <c r="P88"/>
      <c r="Q88"/>
      <c r="R88"/>
      <c r="S88"/>
      <c r="T88"/>
      <c r="U88"/>
      <c r="V88"/>
      <c r="W88"/>
      <c r="X88"/>
      <c r="Y88"/>
      <c r="Z88"/>
      <c r="AA88"/>
      <c r="AB88"/>
      <c r="AC88"/>
    </row>
    <row r="89" spans="2:29" s="189" customFormat="1" hidden="1">
      <c r="D89" s="190"/>
      <c r="E89"/>
      <c r="F89"/>
      <c r="G89"/>
      <c r="H89"/>
      <c r="I89"/>
      <c r="J89"/>
      <c r="K89"/>
      <c r="L89"/>
      <c r="M89"/>
      <c r="N89"/>
      <c r="O89"/>
      <c r="P89"/>
      <c r="Q89"/>
      <c r="R89"/>
      <c r="S89"/>
      <c r="T89"/>
      <c r="U89"/>
      <c r="V89"/>
      <c r="W89"/>
      <c r="X89"/>
      <c r="Y89"/>
      <c r="Z89"/>
      <c r="AA89"/>
      <c r="AB89"/>
      <c r="AC89"/>
    </row>
    <row r="90" spans="2:29" s="189" customFormat="1" hidden="1">
      <c r="D90" s="190"/>
      <c r="E90"/>
      <c r="F90"/>
      <c r="G90"/>
      <c r="H90"/>
      <c r="I90"/>
      <c r="J90"/>
      <c r="K90"/>
      <c r="L90"/>
      <c r="M90"/>
      <c r="N90"/>
      <c r="O90"/>
      <c r="P90"/>
      <c r="Q90"/>
      <c r="R90"/>
      <c r="S90"/>
      <c r="T90"/>
      <c r="U90"/>
      <c r="V90"/>
      <c r="W90"/>
      <c r="X90"/>
      <c r="Y90"/>
      <c r="Z90"/>
      <c r="AA90"/>
      <c r="AB90"/>
      <c r="AC90"/>
    </row>
    <row r="91" spans="2:29" s="189" customFormat="1" hidden="1">
      <c r="B91" s="189" t="s">
        <v>383</v>
      </c>
      <c r="D91" s="190"/>
      <c r="E91"/>
      <c r="F91"/>
      <c r="G91"/>
      <c r="H91"/>
      <c r="I91"/>
      <c r="J91"/>
      <c r="K91"/>
      <c r="L91"/>
      <c r="M91"/>
      <c r="N91"/>
      <c r="O91"/>
      <c r="P91"/>
      <c r="Q91"/>
      <c r="R91"/>
      <c r="S91"/>
      <c r="T91"/>
      <c r="U91"/>
      <c r="V91"/>
      <c r="W91"/>
      <c r="X91"/>
      <c r="Y91"/>
      <c r="Z91"/>
      <c r="AA91"/>
      <c r="AB91"/>
      <c r="AC91"/>
    </row>
    <row r="92" spans="2:29" s="189" customFormat="1" hidden="1">
      <c r="B92" s="189">
        <v>0</v>
      </c>
      <c r="D92" s="190"/>
      <c r="E92"/>
      <c r="F92"/>
      <c r="G92"/>
      <c r="H92"/>
      <c r="I92"/>
      <c r="J92"/>
      <c r="K92"/>
      <c r="L92"/>
      <c r="M92"/>
      <c r="N92"/>
      <c r="O92"/>
      <c r="P92"/>
      <c r="Q92"/>
      <c r="R92"/>
      <c r="S92"/>
      <c r="T92"/>
      <c r="U92"/>
      <c r="V92"/>
      <c r="W92"/>
      <c r="X92"/>
      <c r="Y92"/>
      <c r="Z92"/>
      <c r="AA92"/>
      <c r="AB92"/>
      <c r="AC92"/>
    </row>
    <row r="93" spans="2:29" s="189" customFormat="1" hidden="1">
      <c r="B93" s="189">
        <v>2.1000000000000001E-2</v>
      </c>
      <c r="D93" s="190"/>
      <c r="E93"/>
      <c r="F93"/>
      <c r="G93"/>
      <c r="H93"/>
      <c r="I93"/>
      <c r="J93"/>
      <c r="K93"/>
      <c r="L93"/>
      <c r="M93"/>
      <c r="N93"/>
      <c r="O93"/>
      <c r="P93"/>
      <c r="Q93"/>
      <c r="R93"/>
      <c r="S93"/>
      <c r="T93"/>
      <c r="U93"/>
      <c r="V93"/>
      <c r="W93"/>
      <c r="X93"/>
      <c r="Y93"/>
      <c r="Z93"/>
      <c r="AA93"/>
      <c r="AB93"/>
      <c r="AC93"/>
    </row>
    <row r="94" spans="2:29" s="189" customFormat="1" hidden="1">
      <c r="B94" s="189">
        <v>0.30599999999999999</v>
      </c>
      <c r="D94" s="190"/>
      <c r="E94"/>
      <c r="F94"/>
      <c r="G94"/>
      <c r="H94"/>
      <c r="I94"/>
      <c r="J94"/>
      <c r="K94"/>
      <c r="L94"/>
      <c r="M94"/>
      <c r="N94"/>
      <c r="O94"/>
      <c r="P94"/>
      <c r="Q94"/>
      <c r="R94"/>
      <c r="S94"/>
      <c r="T94"/>
      <c r="U94"/>
      <c r="V94"/>
      <c r="W94"/>
      <c r="X94"/>
      <c r="Y94"/>
      <c r="Z94"/>
      <c r="AA94"/>
      <c r="AB94"/>
      <c r="AC94"/>
    </row>
    <row r="95" spans="2:29" s="189" customFormat="1" hidden="1">
      <c r="B95" s="189">
        <v>0.63900000000000001</v>
      </c>
      <c r="D95" s="190"/>
      <c r="E95"/>
      <c r="F95"/>
      <c r="G95"/>
      <c r="H95"/>
      <c r="I95"/>
      <c r="J95"/>
      <c r="K95"/>
      <c r="L95"/>
      <c r="M95"/>
      <c r="N95"/>
      <c r="O95"/>
      <c r="P95"/>
      <c r="Q95"/>
      <c r="R95"/>
      <c r="S95"/>
      <c r="T95"/>
      <c r="U95"/>
      <c r="V95"/>
      <c r="W95"/>
      <c r="X95"/>
      <c r="Y95"/>
      <c r="Z95"/>
      <c r="AA95"/>
      <c r="AB95"/>
      <c r="AC95"/>
    </row>
    <row r="96" spans="2:29" s="189" customFormat="1" hidden="1">
      <c r="B96" s="189" t="s">
        <v>381</v>
      </c>
      <c r="D96" s="190"/>
      <c r="E96"/>
      <c r="F96"/>
      <c r="G96"/>
      <c r="H96"/>
      <c r="I96"/>
      <c r="J96"/>
      <c r="K96"/>
      <c r="L96"/>
      <c r="M96"/>
      <c r="N96"/>
      <c r="O96"/>
      <c r="P96"/>
      <c r="Q96"/>
      <c r="R96"/>
      <c r="S96"/>
      <c r="T96"/>
      <c r="U96"/>
      <c r="V96"/>
      <c r="W96"/>
      <c r="X96"/>
      <c r="Y96"/>
      <c r="Z96"/>
      <c r="AA96"/>
      <c r="AB96"/>
      <c r="AC96"/>
    </row>
    <row r="97" spans="2:29" s="189" customFormat="1" hidden="1">
      <c r="B97" s="189">
        <v>0</v>
      </c>
      <c r="D97" s="190"/>
      <c r="E97"/>
      <c r="F97"/>
      <c r="G97"/>
      <c r="H97"/>
      <c r="I97"/>
      <c r="J97"/>
      <c r="K97"/>
      <c r="L97"/>
      <c r="M97"/>
      <c r="N97"/>
      <c r="O97"/>
      <c r="P97"/>
      <c r="Q97"/>
      <c r="R97"/>
      <c r="S97"/>
      <c r="T97"/>
      <c r="U97"/>
      <c r="V97"/>
      <c r="W97"/>
      <c r="X97"/>
      <c r="Y97"/>
      <c r="Z97"/>
      <c r="AA97"/>
      <c r="AB97"/>
      <c r="AC97"/>
    </row>
    <row r="98" spans="2:29" s="189" customFormat="1" hidden="1">
      <c r="B98" s="189">
        <v>1.8700000000000001E-2</v>
      </c>
      <c r="C98"/>
      <c r="D98"/>
      <c r="E98"/>
      <c r="F98"/>
      <c r="G98"/>
      <c r="H98"/>
      <c r="I98"/>
      <c r="J98"/>
      <c r="K98"/>
      <c r="L98"/>
      <c r="M98"/>
      <c r="N98"/>
      <c r="O98"/>
      <c r="P98"/>
      <c r="Q98"/>
      <c r="R98"/>
      <c r="S98"/>
      <c r="T98"/>
      <c r="U98"/>
      <c r="V98"/>
      <c r="W98"/>
      <c r="X98"/>
      <c r="Y98"/>
      <c r="Z98"/>
      <c r="AA98"/>
      <c r="AB98"/>
      <c r="AC98"/>
    </row>
    <row r="99" spans="2:29" s="189" customFormat="1" hidden="1">
      <c r="B99" s="297">
        <v>2.75E-2</v>
      </c>
      <c r="C99"/>
      <c r="D99"/>
      <c r="E99"/>
      <c r="F99"/>
      <c r="G99"/>
      <c r="H99"/>
      <c r="I99"/>
      <c r="J99"/>
      <c r="K99"/>
      <c r="L99"/>
      <c r="M99"/>
      <c r="N99"/>
      <c r="O99"/>
      <c r="P99"/>
      <c r="Q99"/>
      <c r="R99"/>
      <c r="S99"/>
      <c r="T99"/>
      <c r="U99"/>
      <c r="V99"/>
      <c r="W99"/>
      <c r="X99"/>
      <c r="Y99"/>
      <c r="Z99"/>
      <c r="AA99"/>
      <c r="AB99"/>
      <c r="AC99"/>
    </row>
    <row r="100" spans="2:29" s="189" customFormat="1" hidden="1">
      <c r="B100" s="189">
        <v>2.8199999999999999E-2</v>
      </c>
      <c r="C100"/>
      <c r="D100"/>
      <c r="E100"/>
      <c r="F100"/>
      <c r="G100"/>
      <c r="H100"/>
      <c r="I100"/>
      <c r="J100"/>
      <c r="K100"/>
      <c r="L100"/>
      <c r="M100"/>
      <c r="N100"/>
      <c r="O100"/>
      <c r="P100"/>
      <c r="Q100"/>
      <c r="R100"/>
      <c r="S100"/>
      <c r="T100"/>
      <c r="U100"/>
      <c r="V100"/>
      <c r="W100"/>
      <c r="X100"/>
      <c r="Y100"/>
      <c r="Z100"/>
      <c r="AA100"/>
      <c r="AB100"/>
      <c r="AC100"/>
    </row>
    <row r="101" spans="2:29" s="189" customFormat="1" hidden="1">
      <c r="B101" s="189">
        <v>4.6800000000000001E-2</v>
      </c>
      <c r="C101"/>
      <c r="D101"/>
      <c r="E101"/>
      <c r="F101"/>
      <c r="G101"/>
      <c r="H101"/>
      <c r="I101"/>
      <c r="J101"/>
      <c r="K101"/>
      <c r="L101"/>
      <c r="M101"/>
      <c r="N101"/>
      <c r="O101"/>
      <c r="P101"/>
      <c r="Q101"/>
      <c r="R101"/>
      <c r="S101"/>
      <c r="T101"/>
      <c r="U101"/>
      <c r="V101"/>
      <c r="W101"/>
      <c r="X101"/>
      <c r="Y101"/>
      <c r="Z101"/>
      <c r="AA101"/>
      <c r="AB101"/>
      <c r="AC101"/>
    </row>
    <row r="102" spans="2:29" s="189" customFormat="1" hidden="1">
      <c r="B102" s="189">
        <v>7.0400000000000004E-2</v>
      </c>
      <c r="C102"/>
      <c r="D102"/>
      <c r="E102"/>
      <c r="F102"/>
      <c r="G102"/>
      <c r="H102"/>
      <c r="I102"/>
      <c r="J102"/>
      <c r="K102"/>
      <c r="L102"/>
      <c r="M102"/>
      <c r="N102"/>
      <c r="O102"/>
      <c r="P102"/>
      <c r="Q102"/>
      <c r="R102"/>
      <c r="S102"/>
      <c r="T102"/>
      <c r="U102"/>
      <c r="V102"/>
      <c r="W102"/>
      <c r="X102"/>
      <c r="Y102"/>
      <c r="Z102"/>
      <c r="AA102"/>
      <c r="AB102"/>
      <c r="AC102"/>
    </row>
    <row r="103" spans="2:29" s="189" customFormat="1" hidden="1">
      <c r="B103" s="189">
        <v>7.7799999999999994E-2</v>
      </c>
      <c r="C103"/>
      <c r="D103"/>
      <c r="E103"/>
      <c r="F103"/>
      <c r="G103"/>
      <c r="H103"/>
      <c r="I103"/>
      <c r="J103"/>
      <c r="K103"/>
      <c r="L103"/>
      <c r="M103"/>
      <c r="N103"/>
      <c r="O103"/>
      <c r="P103"/>
      <c r="Q103"/>
      <c r="R103"/>
      <c r="S103"/>
      <c r="T103"/>
      <c r="U103"/>
      <c r="V103"/>
      <c r="W103"/>
      <c r="X103"/>
      <c r="Y103"/>
      <c r="Z103"/>
      <c r="AA103"/>
      <c r="AB103"/>
      <c r="AC103"/>
    </row>
    <row r="104" spans="2:29" s="189" customFormat="1" hidden="1">
      <c r="B104" s="189">
        <v>8.5199999999999998E-2</v>
      </c>
      <c r="C104"/>
      <c r="D104"/>
      <c r="E104"/>
      <c r="F104"/>
      <c r="G104"/>
      <c r="H104"/>
      <c r="I104"/>
      <c r="J104"/>
      <c r="K104"/>
      <c r="L104"/>
      <c r="M104"/>
      <c r="N104"/>
      <c r="O104"/>
      <c r="P104"/>
      <c r="Q104"/>
      <c r="R104"/>
      <c r="S104"/>
      <c r="T104"/>
      <c r="U104"/>
      <c r="V104"/>
      <c r="W104"/>
      <c r="X104"/>
      <c r="Y104"/>
      <c r="Z104"/>
      <c r="AA104"/>
      <c r="AB104"/>
      <c r="AC104"/>
    </row>
    <row r="105" spans="2:29" s="189" customFormat="1" hidden="1">
      <c r="B105" s="189">
        <v>9.2499999999999999E-2</v>
      </c>
      <c r="C105"/>
      <c r="D105"/>
      <c r="E105"/>
      <c r="F105"/>
      <c r="G105"/>
      <c r="H105"/>
      <c r="I105"/>
      <c r="J105"/>
      <c r="K105"/>
      <c r="L105"/>
      <c r="M105"/>
      <c r="N105"/>
      <c r="O105"/>
      <c r="P105"/>
      <c r="Q105"/>
      <c r="R105"/>
      <c r="S105"/>
      <c r="T105"/>
      <c r="U105"/>
      <c r="V105"/>
      <c r="W105"/>
      <c r="X105"/>
      <c r="Y105"/>
      <c r="Z105"/>
      <c r="AA105"/>
      <c r="AB105"/>
      <c r="AC105"/>
    </row>
    <row r="106" spans="2:29" s="189" customFormat="1" hidden="1">
      <c r="B106" s="189">
        <v>0.12280000000000001</v>
      </c>
      <c r="C106"/>
      <c r="D106"/>
      <c r="E106"/>
      <c r="F106"/>
      <c r="G106"/>
      <c r="H106"/>
      <c r="I106"/>
      <c r="J106"/>
      <c r="K106"/>
      <c r="L106"/>
      <c r="M106"/>
      <c r="N106"/>
      <c r="O106"/>
      <c r="P106"/>
      <c r="Q106"/>
      <c r="R106"/>
      <c r="S106"/>
      <c r="T106"/>
      <c r="U106"/>
      <c r="V106"/>
      <c r="W106"/>
      <c r="X106"/>
      <c r="Y106"/>
      <c r="Z106"/>
      <c r="AA106"/>
      <c r="AB106"/>
      <c r="AC106"/>
    </row>
    <row r="107" spans="2:29" s="189" customFormat="1" hidden="1">
      <c r="C107"/>
      <c r="D107"/>
      <c r="E107"/>
      <c r="F107"/>
      <c r="G107"/>
      <c r="H107"/>
      <c r="I107"/>
      <c r="J107"/>
      <c r="K107"/>
      <c r="L107"/>
      <c r="M107"/>
      <c r="N107"/>
      <c r="O107"/>
      <c r="P107"/>
      <c r="Q107"/>
      <c r="R107"/>
      <c r="S107"/>
      <c r="T107"/>
      <c r="U107"/>
      <c r="V107"/>
      <c r="W107"/>
      <c r="X107"/>
      <c r="Y107"/>
      <c r="Z107"/>
      <c r="AA107"/>
      <c r="AB107"/>
      <c r="AC107"/>
    </row>
    <row r="108" spans="2:29" s="189" customFormat="1">
      <c r="C108"/>
      <c r="D108"/>
      <c r="E108"/>
      <c r="F108"/>
      <c r="G108"/>
      <c r="H108"/>
      <c r="I108"/>
      <c r="J108"/>
      <c r="K108"/>
      <c r="L108"/>
      <c r="M108"/>
      <c r="N108"/>
      <c r="O108"/>
      <c r="P108"/>
      <c r="Q108"/>
      <c r="R108"/>
      <c r="S108"/>
      <c r="T108"/>
      <c r="U108"/>
      <c r="V108"/>
      <c r="W108"/>
      <c r="X108"/>
      <c r="Y108"/>
      <c r="Z108"/>
      <c r="AA108"/>
      <c r="AB108"/>
      <c r="AC108"/>
    </row>
  </sheetData>
  <protectedRanges>
    <protectedRange password="CCE3" sqref="F13:H19" name="Range3"/>
  </protectedRanges>
  <dataConsolidate/>
  <mergeCells count="43">
    <mergeCell ref="R16:AC16"/>
    <mergeCell ref="J5:K5"/>
    <mergeCell ref="E6:F6"/>
    <mergeCell ref="E7:F7"/>
    <mergeCell ref="E8:F8"/>
    <mergeCell ref="G10:H10"/>
    <mergeCell ref="R7:AC7"/>
    <mergeCell ref="R8:AC8"/>
    <mergeCell ref="R9:AC9"/>
    <mergeCell ref="R10:AC10"/>
    <mergeCell ref="R11:AC11"/>
    <mergeCell ref="R12:AC12"/>
    <mergeCell ref="R13:AC13"/>
    <mergeCell ref="R14:AC14"/>
    <mergeCell ref="R15:AC15"/>
    <mergeCell ref="R23:AC23"/>
    <mergeCell ref="R24:AC24"/>
    <mergeCell ref="R25:AC25"/>
    <mergeCell ref="P7:Q7"/>
    <mergeCell ref="P8:Q8"/>
    <mergeCell ref="P9:Q9"/>
    <mergeCell ref="P10:Q10"/>
    <mergeCell ref="P11:Q11"/>
    <mergeCell ref="P12:Q12"/>
    <mergeCell ref="P13:Q13"/>
    <mergeCell ref="R17:AC17"/>
    <mergeCell ref="R18:AC18"/>
    <mergeCell ref="R19:AC19"/>
    <mergeCell ref="R20:AC20"/>
    <mergeCell ref="R21:AC21"/>
    <mergeCell ref="R22:AC22"/>
    <mergeCell ref="P25:Q25"/>
    <mergeCell ref="P14:Q14"/>
    <mergeCell ref="P15:Q15"/>
    <mergeCell ref="P16:Q16"/>
    <mergeCell ref="P17:Q17"/>
    <mergeCell ref="P18:Q18"/>
    <mergeCell ref="P19:Q19"/>
    <mergeCell ref="P20:Q20"/>
    <mergeCell ref="P21:Q21"/>
    <mergeCell ref="P22:Q22"/>
    <mergeCell ref="P23:Q23"/>
    <mergeCell ref="P24:Q24"/>
  </mergeCells>
  <dataValidations count="5">
    <dataValidation type="list" allowBlank="1" showInputMessage="1" showErrorMessage="1" prompt="Pick from drop-down list" sqref="D20 WVM983060 WLQ983060 WBU983060 VRY983060 VIC983060 UYG983060 UOK983060 UEO983060 TUS983060 TKW983060 TBA983060 SRE983060 SHI983060 RXM983060 RNQ983060 RDU983060 QTY983060 QKC983060 QAG983060 PQK983060 PGO983060 OWS983060 OMW983060 ODA983060 NTE983060 NJI983060 MZM983060 MPQ983060 MFU983060 LVY983060 LMC983060 LCG983060 KSK983060 KIO983060 JYS983060 JOW983060 JFA983060 IVE983060 ILI983060 IBM983060 HRQ983060 HHU983060 GXY983060 GOC983060 GEG983060 FUK983060 FKO983060 FAS983060 EQW983060 EHA983060 DXE983060 DNI983060 DDM983060 CTQ983060 CJU983060 BZY983060 BQC983060 BGG983060 AWK983060 AMO983060 ACS983060 SW983060 JA983060 D983060 WVM917524 WLQ917524 WBU917524 VRY917524 VIC917524 UYG917524 UOK917524 UEO917524 TUS917524 TKW917524 TBA917524 SRE917524 SHI917524 RXM917524 RNQ917524 RDU917524 QTY917524 QKC917524 QAG917524 PQK917524 PGO917524 OWS917524 OMW917524 ODA917524 NTE917524 NJI917524 MZM917524 MPQ917524 MFU917524 LVY917524 LMC917524 LCG917524 KSK917524 KIO917524 JYS917524 JOW917524 JFA917524 IVE917524 ILI917524 IBM917524 HRQ917524 HHU917524 GXY917524 GOC917524 GEG917524 FUK917524 FKO917524 FAS917524 EQW917524 EHA917524 DXE917524 DNI917524 DDM917524 CTQ917524 CJU917524 BZY917524 BQC917524 BGG917524 AWK917524 AMO917524 ACS917524 SW917524 JA917524 D917524 WVM851988 WLQ851988 WBU851988 VRY851988 VIC851988 UYG851988 UOK851988 UEO851988 TUS851988 TKW851988 TBA851988 SRE851988 SHI851988 RXM851988 RNQ851988 RDU851988 QTY851988 QKC851988 QAG851988 PQK851988 PGO851988 OWS851988 OMW851988 ODA851988 NTE851988 NJI851988 MZM851988 MPQ851988 MFU851988 LVY851988 LMC851988 LCG851988 KSK851988 KIO851988 JYS851988 JOW851988 JFA851988 IVE851988 ILI851988 IBM851988 HRQ851988 HHU851988 GXY851988 GOC851988 GEG851988 FUK851988 FKO851988 FAS851988 EQW851988 EHA851988 DXE851988 DNI851988 DDM851988 CTQ851988 CJU851988 BZY851988 BQC851988 BGG851988 AWK851988 AMO851988 ACS851988 SW851988 JA851988 D851988 WVM786452 WLQ786452 WBU786452 VRY786452 VIC786452 UYG786452 UOK786452 UEO786452 TUS786452 TKW786452 TBA786452 SRE786452 SHI786452 RXM786452 RNQ786452 RDU786452 QTY786452 QKC786452 QAG786452 PQK786452 PGO786452 OWS786452 OMW786452 ODA786452 NTE786452 NJI786452 MZM786452 MPQ786452 MFU786452 LVY786452 LMC786452 LCG786452 KSK786452 KIO786452 JYS786452 JOW786452 JFA786452 IVE786452 ILI786452 IBM786452 HRQ786452 HHU786452 GXY786452 GOC786452 GEG786452 FUK786452 FKO786452 FAS786452 EQW786452 EHA786452 DXE786452 DNI786452 DDM786452 CTQ786452 CJU786452 BZY786452 BQC786452 BGG786452 AWK786452 AMO786452 ACS786452 SW786452 JA786452 D786452 WVM720916 WLQ720916 WBU720916 VRY720916 VIC720916 UYG720916 UOK720916 UEO720916 TUS720916 TKW720916 TBA720916 SRE720916 SHI720916 RXM720916 RNQ720916 RDU720916 QTY720916 QKC720916 QAG720916 PQK720916 PGO720916 OWS720916 OMW720916 ODA720916 NTE720916 NJI720916 MZM720916 MPQ720916 MFU720916 LVY720916 LMC720916 LCG720916 KSK720916 KIO720916 JYS720916 JOW720916 JFA720916 IVE720916 ILI720916 IBM720916 HRQ720916 HHU720916 GXY720916 GOC720916 GEG720916 FUK720916 FKO720916 FAS720916 EQW720916 EHA720916 DXE720916 DNI720916 DDM720916 CTQ720916 CJU720916 BZY720916 BQC720916 BGG720916 AWK720916 AMO720916 ACS720916 SW720916 JA720916 D720916 WVM655380 WLQ655380 WBU655380 VRY655380 VIC655380 UYG655380 UOK655380 UEO655380 TUS655380 TKW655380 TBA655380 SRE655380 SHI655380 RXM655380 RNQ655380 RDU655380 QTY655380 QKC655380 QAG655380 PQK655380 PGO655380 OWS655380 OMW655380 ODA655380 NTE655380 NJI655380 MZM655380 MPQ655380 MFU655380 LVY655380 LMC655380 LCG655380 KSK655380 KIO655380 JYS655380 JOW655380 JFA655380 IVE655380 ILI655380 IBM655380 HRQ655380 HHU655380 GXY655380 GOC655380 GEG655380 FUK655380 FKO655380 FAS655380 EQW655380 EHA655380 DXE655380 DNI655380 DDM655380 CTQ655380 CJU655380 BZY655380 BQC655380 BGG655380 AWK655380 AMO655380 ACS655380 SW655380 JA655380 D655380 WVM589844 WLQ589844 WBU589844 VRY589844 VIC589844 UYG589844 UOK589844 UEO589844 TUS589844 TKW589844 TBA589844 SRE589844 SHI589844 RXM589844 RNQ589844 RDU589844 QTY589844 QKC589844 QAG589844 PQK589844 PGO589844 OWS589844 OMW589844 ODA589844 NTE589844 NJI589844 MZM589844 MPQ589844 MFU589844 LVY589844 LMC589844 LCG589844 KSK589844 KIO589844 JYS589844 JOW589844 JFA589844 IVE589844 ILI589844 IBM589844 HRQ589844 HHU589844 GXY589844 GOC589844 GEG589844 FUK589844 FKO589844 FAS589844 EQW589844 EHA589844 DXE589844 DNI589844 DDM589844 CTQ589844 CJU589844 BZY589844 BQC589844 BGG589844 AWK589844 AMO589844 ACS589844 SW589844 JA589844 D589844 WVM524308 WLQ524308 WBU524308 VRY524308 VIC524308 UYG524308 UOK524308 UEO524308 TUS524308 TKW524308 TBA524308 SRE524308 SHI524308 RXM524308 RNQ524308 RDU524308 QTY524308 QKC524308 QAG524308 PQK524308 PGO524308 OWS524308 OMW524308 ODA524308 NTE524308 NJI524308 MZM524308 MPQ524308 MFU524308 LVY524308 LMC524308 LCG524308 KSK524308 KIO524308 JYS524308 JOW524308 JFA524308 IVE524308 ILI524308 IBM524308 HRQ524308 HHU524308 GXY524308 GOC524308 GEG524308 FUK524308 FKO524308 FAS524308 EQW524308 EHA524308 DXE524308 DNI524308 DDM524308 CTQ524308 CJU524308 BZY524308 BQC524308 BGG524308 AWK524308 AMO524308 ACS524308 SW524308 JA524308 D524308 WVM458772 WLQ458772 WBU458772 VRY458772 VIC458772 UYG458772 UOK458772 UEO458772 TUS458772 TKW458772 TBA458772 SRE458772 SHI458772 RXM458772 RNQ458772 RDU458772 QTY458772 QKC458772 QAG458772 PQK458772 PGO458772 OWS458772 OMW458772 ODA458772 NTE458772 NJI458772 MZM458772 MPQ458772 MFU458772 LVY458772 LMC458772 LCG458772 KSK458772 KIO458772 JYS458772 JOW458772 JFA458772 IVE458772 ILI458772 IBM458772 HRQ458772 HHU458772 GXY458772 GOC458772 GEG458772 FUK458772 FKO458772 FAS458772 EQW458772 EHA458772 DXE458772 DNI458772 DDM458772 CTQ458772 CJU458772 BZY458772 BQC458772 BGG458772 AWK458772 AMO458772 ACS458772 SW458772 JA458772 D458772 WVM393236 WLQ393236 WBU393236 VRY393236 VIC393236 UYG393236 UOK393236 UEO393236 TUS393236 TKW393236 TBA393236 SRE393236 SHI393236 RXM393236 RNQ393236 RDU393236 QTY393236 QKC393236 QAG393236 PQK393236 PGO393236 OWS393236 OMW393236 ODA393236 NTE393236 NJI393236 MZM393236 MPQ393236 MFU393236 LVY393236 LMC393236 LCG393236 KSK393236 KIO393236 JYS393236 JOW393236 JFA393236 IVE393236 ILI393236 IBM393236 HRQ393236 HHU393236 GXY393236 GOC393236 GEG393236 FUK393236 FKO393236 FAS393236 EQW393236 EHA393236 DXE393236 DNI393236 DDM393236 CTQ393236 CJU393236 BZY393236 BQC393236 BGG393236 AWK393236 AMO393236 ACS393236 SW393236 JA393236 D393236 WVM327700 WLQ327700 WBU327700 VRY327700 VIC327700 UYG327700 UOK327700 UEO327700 TUS327700 TKW327700 TBA327700 SRE327700 SHI327700 RXM327700 RNQ327700 RDU327700 QTY327700 QKC327700 QAG327700 PQK327700 PGO327700 OWS327700 OMW327700 ODA327700 NTE327700 NJI327700 MZM327700 MPQ327700 MFU327700 LVY327700 LMC327700 LCG327700 KSK327700 KIO327700 JYS327700 JOW327700 JFA327700 IVE327700 ILI327700 IBM327700 HRQ327700 HHU327700 GXY327700 GOC327700 GEG327700 FUK327700 FKO327700 FAS327700 EQW327700 EHA327700 DXE327700 DNI327700 DDM327700 CTQ327700 CJU327700 BZY327700 BQC327700 BGG327700 AWK327700 AMO327700 ACS327700 SW327700 JA327700 D327700 WVM262164 WLQ262164 WBU262164 VRY262164 VIC262164 UYG262164 UOK262164 UEO262164 TUS262164 TKW262164 TBA262164 SRE262164 SHI262164 RXM262164 RNQ262164 RDU262164 QTY262164 QKC262164 QAG262164 PQK262164 PGO262164 OWS262164 OMW262164 ODA262164 NTE262164 NJI262164 MZM262164 MPQ262164 MFU262164 LVY262164 LMC262164 LCG262164 KSK262164 KIO262164 JYS262164 JOW262164 JFA262164 IVE262164 ILI262164 IBM262164 HRQ262164 HHU262164 GXY262164 GOC262164 GEG262164 FUK262164 FKO262164 FAS262164 EQW262164 EHA262164 DXE262164 DNI262164 DDM262164 CTQ262164 CJU262164 BZY262164 BQC262164 BGG262164 AWK262164 AMO262164 ACS262164 SW262164 JA262164 D262164 WVM196628 WLQ196628 WBU196628 VRY196628 VIC196628 UYG196628 UOK196628 UEO196628 TUS196628 TKW196628 TBA196628 SRE196628 SHI196628 RXM196628 RNQ196628 RDU196628 QTY196628 QKC196628 QAG196628 PQK196628 PGO196628 OWS196628 OMW196628 ODA196628 NTE196628 NJI196628 MZM196628 MPQ196628 MFU196628 LVY196628 LMC196628 LCG196628 KSK196628 KIO196628 JYS196628 JOW196628 JFA196628 IVE196628 ILI196628 IBM196628 HRQ196628 HHU196628 GXY196628 GOC196628 GEG196628 FUK196628 FKO196628 FAS196628 EQW196628 EHA196628 DXE196628 DNI196628 DDM196628 CTQ196628 CJU196628 BZY196628 BQC196628 BGG196628 AWK196628 AMO196628 ACS196628 SW196628 JA196628 D196628 WVM131092 WLQ131092 WBU131092 VRY131092 VIC131092 UYG131092 UOK131092 UEO131092 TUS131092 TKW131092 TBA131092 SRE131092 SHI131092 RXM131092 RNQ131092 RDU131092 QTY131092 QKC131092 QAG131092 PQK131092 PGO131092 OWS131092 OMW131092 ODA131092 NTE131092 NJI131092 MZM131092 MPQ131092 MFU131092 LVY131092 LMC131092 LCG131092 KSK131092 KIO131092 JYS131092 JOW131092 JFA131092 IVE131092 ILI131092 IBM131092 HRQ131092 HHU131092 GXY131092 GOC131092 GEG131092 FUK131092 FKO131092 FAS131092 EQW131092 EHA131092 DXE131092 DNI131092 DDM131092 CTQ131092 CJU131092 BZY131092 BQC131092 BGG131092 AWK131092 AMO131092 ACS131092 SW131092 JA131092 D131092 WVM65556 WLQ65556 WBU65556 VRY65556 VIC65556 UYG65556 UOK65556 UEO65556 TUS65556 TKW65556 TBA65556 SRE65556 SHI65556 RXM65556 RNQ65556 RDU65556 QTY65556 QKC65556 QAG65556 PQK65556 PGO65556 OWS65556 OMW65556 ODA65556 NTE65556 NJI65556 MZM65556 MPQ65556 MFU65556 LVY65556 LMC65556 LCG65556 KSK65556 KIO65556 JYS65556 JOW65556 JFA65556 IVE65556 ILI65556 IBM65556 HRQ65556 HHU65556 GXY65556 GOC65556 GEG65556 FUK65556 FKO65556 FAS65556 EQW65556 EHA65556 DXE65556 DNI65556 DDM65556 CTQ65556 CJU65556 BZY65556 BQC65556 BGG65556 AWK65556 AMO65556 ACS65556 SW65556 JA65556 D65556 WVM20 WLQ20 WBU20 VRY20 VIC20 UYG20 UOK20 UEO20 TUS20 TKW20 TBA20 SRE20 SHI20 RXM20 RNQ20 RDU20 QTY20 QKC20 QAG20 PQK20 PGO20 OWS20 OMW20 ODA20 NTE20 NJI20 MZM20 MPQ20 MFU20 LVY20 LMC20 LCG20 KSK20 KIO20 JYS20 JOW20 JFA20 IVE20 ILI20 IBM20 HRQ20 HHU20 GXY20 GOC20 GEG20 FUK20 FKO20 FAS20 EQW20 EHA20 DXE20 DNI20 DDM20 CTQ20 CJU20 BZY20 BQC20 BGG20 AWK20 AMO20 ACS20 SW20 JA20" xr:uid="{087E38BF-5E94-024F-A628-91498591A137}">
      <formula1>$B$97:$B$106</formula1>
    </dataValidation>
    <dataValidation type="list" allowBlank="1" showInputMessage="1" showErrorMessage="1" prompt="Pick from drop-down list" sqref="D19 WVM983059 WLQ983059 WBU983059 VRY983059 VIC983059 UYG983059 UOK983059 UEO983059 TUS983059 TKW983059 TBA983059 SRE983059 SHI983059 RXM983059 RNQ983059 RDU983059 QTY983059 QKC983059 QAG983059 PQK983059 PGO983059 OWS983059 OMW983059 ODA983059 NTE983059 NJI983059 MZM983059 MPQ983059 MFU983059 LVY983059 LMC983059 LCG983059 KSK983059 KIO983059 JYS983059 JOW983059 JFA983059 IVE983059 ILI983059 IBM983059 HRQ983059 HHU983059 GXY983059 GOC983059 GEG983059 FUK983059 FKO983059 FAS983059 EQW983059 EHA983059 DXE983059 DNI983059 DDM983059 CTQ983059 CJU983059 BZY983059 BQC983059 BGG983059 AWK983059 AMO983059 ACS983059 SW983059 JA983059 D983059 WVM917523 WLQ917523 WBU917523 VRY917523 VIC917523 UYG917523 UOK917523 UEO917523 TUS917523 TKW917523 TBA917523 SRE917523 SHI917523 RXM917523 RNQ917523 RDU917523 QTY917523 QKC917523 QAG917523 PQK917523 PGO917523 OWS917523 OMW917523 ODA917523 NTE917523 NJI917523 MZM917523 MPQ917523 MFU917523 LVY917523 LMC917523 LCG917523 KSK917523 KIO917523 JYS917523 JOW917523 JFA917523 IVE917523 ILI917523 IBM917523 HRQ917523 HHU917523 GXY917523 GOC917523 GEG917523 FUK917523 FKO917523 FAS917523 EQW917523 EHA917523 DXE917523 DNI917523 DDM917523 CTQ917523 CJU917523 BZY917523 BQC917523 BGG917523 AWK917523 AMO917523 ACS917523 SW917523 JA917523 D917523 WVM851987 WLQ851987 WBU851987 VRY851987 VIC851987 UYG851987 UOK851987 UEO851987 TUS851987 TKW851987 TBA851987 SRE851987 SHI851987 RXM851987 RNQ851987 RDU851987 QTY851987 QKC851987 QAG851987 PQK851987 PGO851987 OWS851987 OMW851987 ODA851987 NTE851987 NJI851987 MZM851987 MPQ851987 MFU851987 LVY851987 LMC851987 LCG851987 KSK851987 KIO851987 JYS851987 JOW851987 JFA851987 IVE851987 ILI851987 IBM851987 HRQ851987 HHU851987 GXY851987 GOC851987 GEG851987 FUK851987 FKO851987 FAS851987 EQW851987 EHA851987 DXE851987 DNI851987 DDM851987 CTQ851987 CJU851987 BZY851987 BQC851987 BGG851987 AWK851987 AMO851987 ACS851987 SW851987 JA851987 D851987 WVM786451 WLQ786451 WBU786451 VRY786451 VIC786451 UYG786451 UOK786451 UEO786451 TUS786451 TKW786451 TBA786451 SRE786451 SHI786451 RXM786451 RNQ786451 RDU786451 QTY786451 QKC786451 QAG786451 PQK786451 PGO786451 OWS786451 OMW786451 ODA786451 NTE786451 NJI786451 MZM786451 MPQ786451 MFU786451 LVY786451 LMC786451 LCG786451 KSK786451 KIO786451 JYS786451 JOW786451 JFA786451 IVE786451 ILI786451 IBM786451 HRQ786451 HHU786451 GXY786451 GOC786451 GEG786451 FUK786451 FKO786451 FAS786451 EQW786451 EHA786451 DXE786451 DNI786451 DDM786451 CTQ786451 CJU786451 BZY786451 BQC786451 BGG786451 AWK786451 AMO786451 ACS786451 SW786451 JA786451 D786451 WVM720915 WLQ720915 WBU720915 VRY720915 VIC720915 UYG720915 UOK720915 UEO720915 TUS720915 TKW720915 TBA720915 SRE720915 SHI720915 RXM720915 RNQ720915 RDU720915 QTY720915 QKC720915 QAG720915 PQK720915 PGO720915 OWS720915 OMW720915 ODA720915 NTE720915 NJI720915 MZM720915 MPQ720915 MFU720915 LVY720915 LMC720915 LCG720915 KSK720915 KIO720915 JYS720915 JOW720915 JFA720915 IVE720915 ILI720915 IBM720915 HRQ720915 HHU720915 GXY720915 GOC720915 GEG720915 FUK720915 FKO720915 FAS720915 EQW720915 EHA720915 DXE720915 DNI720915 DDM720915 CTQ720915 CJU720915 BZY720915 BQC720915 BGG720915 AWK720915 AMO720915 ACS720915 SW720915 JA720915 D720915 WVM655379 WLQ655379 WBU655379 VRY655379 VIC655379 UYG655379 UOK655379 UEO655379 TUS655379 TKW655379 TBA655379 SRE655379 SHI655379 RXM655379 RNQ655379 RDU655379 QTY655379 QKC655379 QAG655379 PQK655379 PGO655379 OWS655379 OMW655379 ODA655379 NTE655379 NJI655379 MZM655379 MPQ655379 MFU655379 LVY655379 LMC655379 LCG655379 KSK655379 KIO655379 JYS655379 JOW655379 JFA655379 IVE655379 ILI655379 IBM655379 HRQ655379 HHU655379 GXY655379 GOC655379 GEG655379 FUK655379 FKO655379 FAS655379 EQW655379 EHA655379 DXE655379 DNI655379 DDM655379 CTQ655379 CJU655379 BZY655379 BQC655379 BGG655379 AWK655379 AMO655379 ACS655379 SW655379 JA655379 D655379 WVM589843 WLQ589843 WBU589843 VRY589843 VIC589843 UYG589843 UOK589843 UEO589843 TUS589843 TKW589843 TBA589843 SRE589843 SHI589843 RXM589843 RNQ589843 RDU589843 QTY589843 QKC589843 QAG589843 PQK589843 PGO589843 OWS589843 OMW589843 ODA589843 NTE589843 NJI589843 MZM589843 MPQ589843 MFU589843 LVY589843 LMC589843 LCG589843 KSK589843 KIO589843 JYS589843 JOW589843 JFA589843 IVE589843 ILI589843 IBM589843 HRQ589843 HHU589843 GXY589843 GOC589843 GEG589843 FUK589843 FKO589843 FAS589843 EQW589843 EHA589843 DXE589843 DNI589843 DDM589843 CTQ589843 CJU589843 BZY589843 BQC589843 BGG589843 AWK589843 AMO589843 ACS589843 SW589843 JA589843 D589843 WVM524307 WLQ524307 WBU524307 VRY524307 VIC524307 UYG524307 UOK524307 UEO524307 TUS524307 TKW524307 TBA524307 SRE524307 SHI524307 RXM524307 RNQ524307 RDU524307 QTY524307 QKC524307 QAG524307 PQK524307 PGO524307 OWS524307 OMW524307 ODA524307 NTE524307 NJI524307 MZM524307 MPQ524307 MFU524307 LVY524307 LMC524307 LCG524307 KSK524307 KIO524307 JYS524307 JOW524307 JFA524307 IVE524307 ILI524307 IBM524307 HRQ524307 HHU524307 GXY524307 GOC524307 GEG524307 FUK524307 FKO524307 FAS524307 EQW524307 EHA524307 DXE524307 DNI524307 DDM524307 CTQ524307 CJU524307 BZY524307 BQC524307 BGG524307 AWK524307 AMO524307 ACS524307 SW524307 JA524307 D524307 WVM458771 WLQ458771 WBU458771 VRY458771 VIC458771 UYG458771 UOK458771 UEO458771 TUS458771 TKW458771 TBA458771 SRE458771 SHI458771 RXM458771 RNQ458771 RDU458771 QTY458771 QKC458771 QAG458771 PQK458771 PGO458771 OWS458771 OMW458771 ODA458771 NTE458771 NJI458771 MZM458771 MPQ458771 MFU458771 LVY458771 LMC458771 LCG458771 KSK458771 KIO458771 JYS458771 JOW458771 JFA458771 IVE458771 ILI458771 IBM458771 HRQ458771 HHU458771 GXY458771 GOC458771 GEG458771 FUK458771 FKO458771 FAS458771 EQW458771 EHA458771 DXE458771 DNI458771 DDM458771 CTQ458771 CJU458771 BZY458771 BQC458771 BGG458771 AWK458771 AMO458771 ACS458771 SW458771 JA458771 D458771 WVM393235 WLQ393235 WBU393235 VRY393235 VIC393235 UYG393235 UOK393235 UEO393235 TUS393235 TKW393235 TBA393235 SRE393235 SHI393235 RXM393235 RNQ393235 RDU393235 QTY393235 QKC393235 QAG393235 PQK393235 PGO393235 OWS393235 OMW393235 ODA393235 NTE393235 NJI393235 MZM393235 MPQ393235 MFU393235 LVY393235 LMC393235 LCG393235 KSK393235 KIO393235 JYS393235 JOW393235 JFA393235 IVE393235 ILI393235 IBM393235 HRQ393235 HHU393235 GXY393235 GOC393235 GEG393235 FUK393235 FKO393235 FAS393235 EQW393235 EHA393235 DXE393235 DNI393235 DDM393235 CTQ393235 CJU393235 BZY393235 BQC393235 BGG393235 AWK393235 AMO393235 ACS393235 SW393235 JA393235 D393235 WVM327699 WLQ327699 WBU327699 VRY327699 VIC327699 UYG327699 UOK327699 UEO327699 TUS327699 TKW327699 TBA327699 SRE327699 SHI327699 RXM327699 RNQ327699 RDU327699 QTY327699 QKC327699 QAG327699 PQK327699 PGO327699 OWS327699 OMW327699 ODA327699 NTE327699 NJI327699 MZM327699 MPQ327699 MFU327699 LVY327699 LMC327699 LCG327699 KSK327699 KIO327699 JYS327699 JOW327699 JFA327699 IVE327699 ILI327699 IBM327699 HRQ327699 HHU327699 GXY327699 GOC327699 GEG327699 FUK327699 FKO327699 FAS327699 EQW327699 EHA327699 DXE327699 DNI327699 DDM327699 CTQ327699 CJU327699 BZY327699 BQC327699 BGG327699 AWK327699 AMO327699 ACS327699 SW327699 JA327699 D327699 WVM262163 WLQ262163 WBU262163 VRY262163 VIC262163 UYG262163 UOK262163 UEO262163 TUS262163 TKW262163 TBA262163 SRE262163 SHI262163 RXM262163 RNQ262163 RDU262163 QTY262163 QKC262163 QAG262163 PQK262163 PGO262163 OWS262163 OMW262163 ODA262163 NTE262163 NJI262163 MZM262163 MPQ262163 MFU262163 LVY262163 LMC262163 LCG262163 KSK262163 KIO262163 JYS262163 JOW262163 JFA262163 IVE262163 ILI262163 IBM262163 HRQ262163 HHU262163 GXY262163 GOC262163 GEG262163 FUK262163 FKO262163 FAS262163 EQW262163 EHA262163 DXE262163 DNI262163 DDM262163 CTQ262163 CJU262163 BZY262163 BQC262163 BGG262163 AWK262163 AMO262163 ACS262163 SW262163 JA262163 D262163 WVM196627 WLQ196627 WBU196627 VRY196627 VIC196627 UYG196627 UOK196627 UEO196627 TUS196627 TKW196627 TBA196627 SRE196627 SHI196627 RXM196627 RNQ196627 RDU196627 QTY196627 QKC196627 QAG196627 PQK196627 PGO196627 OWS196627 OMW196627 ODA196627 NTE196627 NJI196627 MZM196627 MPQ196627 MFU196627 LVY196627 LMC196627 LCG196627 KSK196627 KIO196627 JYS196627 JOW196627 JFA196627 IVE196627 ILI196627 IBM196627 HRQ196627 HHU196627 GXY196627 GOC196627 GEG196627 FUK196627 FKO196627 FAS196627 EQW196627 EHA196627 DXE196627 DNI196627 DDM196627 CTQ196627 CJU196627 BZY196627 BQC196627 BGG196627 AWK196627 AMO196627 ACS196627 SW196627 JA196627 D196627 WVM131091 WLQ131091 WBU131091 VRY131091 VIC131091 UYG131091 UOK131091 UEO131091 TUS131091 TKW131091 TBA131091 SRE131091 SHI131091 RXM131091 RNQ131091 RDU131091 QTY131091 QKC131091 QAG131091 PQK131091 PGO131091 OWS131091 OMW131091 ODA131091 NTE131091 NJI131091 MZM131091 MPQ131091 MFU131091 LVY131091 LMC131091 LCG131091 KSK131091 KIO131091 JYS131091 JOW131091 JFA131091 IVE131091 ILI131091 IBM131091 HRQ131091 HHU131091 GXY131091 GOC131091 GEG131091 FUK131091 FKO131091 FAS131091 EQW131091 EHA131091 DXE131091 DNI131091 DDM131091 CTQ131091 CJU131091 BZY131091 BQC131091 BGG131091 AWK131091 AMO131091 ACS131091 SW131091 JA131091 D131091 WVM65555 WLQ65555 WBU65555 VRY65555 VIC65555 UYG65555 UOK65555 UEO65555 TUS65555 TKW65555 TBA65555 SRE65555 SHI65555 RXM65555 RNQ65555 RDU65555 QTY65555 QKC65555 QAG65555 PQK65555 PGO65555 OWS65555 OMW65555 ODA65555 NTE65555 NJI65555 MZM65555 MPQ65555 MFU65555 LVY65555 LMC65555 LCG65555 KSK65555 KIO65555 JYS65555 JOW65555 JFA65555 IVE65555 ILI65555 IBM65555 HRQ65555 HHU65555 GXY65555 GOC65555 GEG65555 FUK65555 FKO65555 FAS65555 EQW65555 EHA65555 DXE65555 DNI65555 DDM65555 CTQ65555 CJU65555 BZY65555 BQC65555 BGG65555 AWK65555 AMO65555 ACS65555 SW65555 JA65555 D65555 WVM19 WLQ19 WBU19 VRY19 VIC19 UYG19 UOK19 UEO19 TUS19 TKW19 TBA19 SRE19 SHI19 RXM19 RNQ19 RDU19 QTY19 QKC19 QAG19 PQK19 PGO19 OWS19 OMW19 ODA19 NTE19 NJI19 MZM19 MPQ19 MFU19 LVY19 LMC19 LCG19 KSK19 KIO19 JYS19 JOW19 JFA19 IVE19 ILI19 IBM19 HRQ19 HHU19 GXY19 GOC19 GEG19 FUK19 FKO19 FAS19 EQW19 EHA19 DXE19 DNI19 DDM19 CTQ19 CJU19 BZY19 BQC19 BGG19 AWK19 AMO19 ACS19 SW19 JA19" xr:uid="{90EE8A64-A6BA-CC43-98D8-00617B432971}">
      <formula1>$B$92:$B$95</formula1>
    </dataValidation>
    <dataValidation type="list" allowBlank="1" showInputMessage="1" showErrorMessage="1" prompt="Pick from drop-down list" sqref="H20 WVQ983060 WLU983060 WBY983060 VSC983060 VIG983060 UYK983060 UOO983060 UES983060 TUW983060 TLA983060 TBE983060 SRI983060 SHM983060 RXQ983060 RNU983060 RDY983060 QUC983060 QKG983060 QAK983060 PQO983060 PGS983060 OWW983060 ONA983060 ODE983060 NTI983060 NJM983060 MZQ983060 MPU983060 MFY983060 LWC983060 LMG983060 LCK983060 KSO983060 KIS983060 JYW983060 JPA983060 JFE983060 IVI983060 ILM983060 IBQ983060 HRU983060 HHY983060 GYC983060 GOG983060 GEK983060 FUO983060 FKS983060 FAW983060 ERA983060 EHE983060 DXI983060 DNM983060 DDQ983060 CTU983060 CJY983060 CAC983060 BQG983060 BGK983060 AWO983060 AMS983060 ACW983060 TA983060 JE983060 H983060 WVQ917524 WLU917524 WBY917524 VSC917524 VIG917524 UYK917524 UOO917524 UES917524 TUW917524 TLA917524 TBE917524 SRI917524 SHM917524 RXQ917524 RNU917524 RDY917524 QUC917524 QKG917524 QAK917524 PQO917524 PGS917524 OWW917524 ONA917524 ODE917524 NTI917524 NJM917524 MZQ917524 MPU917524 MFY917524 LWC917524 LMG917524 LCK917524 KSO917524 KIS917524 JYW917524 JPA917524 JFE917524 IVI917524 ILM917524 IBQ917524 HRU917524 HHY917524 GYC917524 GOG917524 GEK917524 FUO917524 FKS917524 FAW917524 ERA917524 EHE917524 DXI917524 DNM917524 DDQ917524 CTU917524 CJY917524 CAC917524 BQG917524 BGK917524 AWO917524 AMS917524 ACW917524 TA917524 JE917524 H917524 WVQ851988 WLU851988 WBY851988 VSC851988 VIG851988 UYK851988 UOO851988 UES851988 TUW851988 TLA851988 TBE851988 SRI851988 SHM851988 RXQ851988 RNU851988 RDY851988 QUC851988 QKG851988 QAK851988 PQO851988 PGS851988 OWW851988 ONA851988 ODE851988 NTI851988 NJM851988 MZQ851988 MPU851988 MFY851988 LWC851988 LMG851988 LCK851988 KSO851988 KIS851988 JYW851988 JPA851988 JFE851988 IVI851988 ILM851988 IBQ851988 HRU851988 HHY851988 GYC851988 GOG851988 GEK851988 FUO851988 FKS851988 FAW851988 ERA851988 EHE851988 DXI851988 DNM851988 DDQ851988 CTU851988 CJY851988 CAC851988 BQG851988 BGK851988 AWO851988 AMS851988 ACW851988 TA851988 JE851988 H851988 WVQ786452 WLU786452 WBY786452 VSC786452 VIG786452 UYK786452 UOO786452 UES786452 TUW786452 TLA786452 TBE786452 SRI786452 SHM786452 RXQ786452 RNU786452 RDY786452 QUC786452 QKG786452 QAK786452 PQO786452 PGS786452 OWW786452 ONA786452 ODE786452 NTI786452 NJM786452 MZQ786452 MPU786452 MFY786452 LWC786452 LMG786452 LCK786452 KSO786452 KIS786452 JYW786452 JPA786452 JFE786452 IVI786452 ILM786452 IBQ786452 HRU786452 HHY786452 GYC786452 GOG786452 GEK786452 FUO786452 FKS786452 FAW786452 ERA786452 EHE786452 DXI786452 DNM786452 DDQ786452 CTU786452 CJY786452 CAC786452 BQG786452 BGK786452 AWO786452 AMS786452 ACW786452 TA786452 JE786452 H786452 WVQ720916 WLU720916 WBY720916 VSC720916 VIG720916 UYK720916 UOO720916 UES720916 TUW720916 TLA720916 TBE720916 SRI720916 SHM720916 RXQ720916 RNU720916 RDY720916 QUC720916 QKG720916 QAK720916 PQO720916 PGS720916 OWW720916 ONA720916 ODE720916 NTI720916 NJM720916 MZQ720916 MPU720916 MFY720916 LWC720916 LMG720916 LCK720916 KSO720916 KIS720916 JYW720916 JPA720916 JFE720916 IVI720916 ILM720916 IBQ720916 HRU720916 HHY720916 GYC720916 GOG720916 GEK720916 FUO720916 FKS720916 FAW720916 ERA720916 EHE720916 DXI720916 DNM720916 DDQ720916 CTU720916 CJY720916 CAC720916 BQG720916 BGK720916 AWO720916 AMS720916 ACW720916 TA720916 JE720916 H720916 WVQ655380 WLU655380 WBY655380 VSC655380 VIG655380 UYK655380 UOO655380 UES655380 TUW655380 TLA655380 TBE655380 SRI655380 SHM655380 RXQ655380 RNU655380 RDY655380 QUC655380 QKG655380 QAK655380 PQO655380 PGS655380 OWW655380 ONA655380 ODE655380 NTI655380 NJM655380 MZQ655380 MPU655380 MFY655380 LWC655380 LMG655380 LCK655380 KSO655380 KIS655380 JYW655380 JPA655380 JFE655380 IVI655380 ILM655380 IBQ655380 HRU655380 HHY655380 GYC655380 GOG655380 GEK655380 FUO655380 FKS655380 FAW655380 ERA655380 EHE655380 DXI655380 DNM655380 DDQ655380 CTU655380 CJY655380 CAC655380 BQG655380 BGK655380 AWO655380 AMS655380 ACW655380 TA655380 JE655380 H655380 WVQ589844 WLU589844 WBY589844 VSC589844 VIG589844 UYK589844 UOO589844 UES589844 TUW589844 TLA589844 TBE589844 SRI589844 SHM589844 RXQ589844 RNU589844 RDY589844 QUC589844 QKG589844 QAK589844 PQO589844 PGS589844 OWW589844 ONA589844 ODE589844 NTI589844 NJM589844 MZQ589844 MPU589844 MFY589844 LWC589844 LMG589844 LCK589844 KSO589844 KIS589844 JYW589844 JPA589844 JFE589844 IVI589844 ILM589844 IBQ589844 HRU589844 HHY589844 GYC589844 GOG589844 GEK589844 FUO589844 FKS589844 FAW589844 ERA589844 EHE589844 DXI589844 DNM589844 DDQ589844 CTU589844 CJY589844 CAC589844 BQG589844 BGK589844 AWO589844 AMS589844 ACW589844 TA589844 JE589844 H589844 WVQ524308 WLU524308 WBY524308 VSC524308 VIG524308 UYK524308 UOO524308 UES524308 TUW524308 TLA524308 TBE524308 SRI524308 SHM524308 RXQ524308 RNU524308 RDY524308 QUC524308 QKG524308 QAK524308 PQO524308 PGS524308 OWW524308 ONA524308 ODE524308 NTI524308 NJM524308 MZQ524308 MPU524308 MFY524308 LWC524308 LMG524308 LCK524308 KSO524308 KIS524308 JYW524308 JPA524308 JFE524308 IVI524308 ILM524308 IBQ524308 HRU524308 HHY524308 GYC524308 GOG524308 GEK524308 FUO524308 FKS524308 FAW524308 ERA524308 EHE524308 DXI524308 DNM524308 DDQ524308 CTU524308 CJY524308 CAC524308 BQG524308 BGK524308 AWO524308 AMS524308 ACW524308 TA524308 JE524308 H524308 WVQ458772 WLU458772 WBY458772 VSC458772 VIG458772 UYK458772 UOO458772 UES458772 TUW458772 TLA458772 TBE458772 SRI458772 SHM458772 RXQ458772 RNU458772 RDY458772 QUC458772 QKG458772 QAK458772 PQO458772 PGS458772 OWW458772 ONA458772 ODE458772 NTI458772 NJM458772 MZQ458772 MPU458772 MFY458772 LWC458772 LMG458772 LCK458772 KSO458772 KIS458772 JYW458772 JPA458772 JFE458772 IVI458772 ILM458772 IBQ458772 HRU458772 HHY458772 GYC458772 GOG458772 GEK458772 FUO458772 FKS458772 FAW458772 ERA458772 EHE458772 DXI458772 DNM458772 DDQ458772 CTU458772 CJY458772 CAC458772 BQG458772 BGK458772 AWO458772 AMS458772 ACW458772 TA458772 JE458772 H458772 WVQ393236 WLU393236 WBY393236 VSC393236 VIG393236 UYK393236 UOO393236 UES393236 TUW393236 TLA393236 TBE393236 SRI393236 SHM393236 RXQ393236 RNU393236 RDY393236 QUC393236 QKG393236 QAK393236 PQO393236 PGS393236 OWW393236 ONA393236 ODE393236 NTI393236 NJM393236 MZQ393236 MPU393236 MFY393236 LWC393236 LMG393236 LCK393236 KSO393236 KIS393236 JYW393236 JPA393236 JFE393236 IVI393236 ILM393236 IBQ393236 HRU393236 HHY393236 GYC393236 GOG393236 GEK393236 FUO393236 FKS393236 FAW393236 ERA393236 EHE393236 DXI393236 DNM393236 DDQ393236 CTU393236 CJY393236 CAC393236 BQG393236 BGK393236 AWO393236 AMS393236 ACW393236 TA393236 JE393236 H393236 WVQ327700 WLU327700 WBY327700 VSC327700 VIG327700 UYK327700 UOO327700 UES327700 TUW327700 TLA327700 TBE327700 SRI327700 SHM327700 RXQ327700 RNU327700 RDY327700 QUC327700 QKG327700 QAK327700 PQO327700 PGS327700 OWW327700 ONA327700 ODE327700 NTI327700 NJM327700 MZQ327700 MPU327700 MFY327700 LWC327700 LMG327700 LCK327700 KSO327700 KIS327700 JYW327700 JPA327700 JFE327700 IVI327700 ILM327700 IBQ327700 HRU327700 HHY327700 GYC327700 GOG327700 GEK327700 FUO327700 FKS327700 FAW327700 ERA327700 EHE327700 DXI327700 DNM327700 DDQ327700 CTU327700 CJY327700 CAC327700 BQG327700 BGK327700 AWO327700 AMS327700 ACW327700 TA327700 JE327700 H327700 WVQ262164 WLU262164 WBY262164 VSC262164 VIG262164 UYK262164 UOO262164 UES262164 TUW262164 TLA262164 TBE262164 SRI262164 SHM262164 RXQ262164 RNU262164 RDY262164 QUC262164 QKG262164 QAK262164 PQO262164 PGS262164 OWW262164 ONA262164 ODE262164 NTI262164 NJM262164 MZQ262164 MPU262164 MFY262164 LWC262164 LMG262164 LCK262164 KSO262164 KIS262164 JYW262164 JPA262164 JFE262164 IVI262164 ILM262164 IBQ262164 HRU262164 HHY262164 GYC262164 GOG262164 GEK262164 FUO262164 FKS262164 FAW262164 ERA262164 EHE262164 DXI262164 DNM262164 DDQ262164 CTU262164 CJY262164 CAC262164 BQG262164 BGK262164 AWO262164 AMS262164 ACW262164 TA262164 JE262164 H262164 WVQ196628 WLU196628 WBY196628 VSC196628 VIG196628 UYK196628 UOO196628 UES196628 TUW196628 TLA196628 TBE196628 SRI196628 SHM196628 RXQ196628 RNU196628 RDY196628 QUC196628 QKG196628 QAK196628 PQO196628 PGS196628 OWW196628 ONA196628 ODE196628 NTI196628 NJM196628 MZQ196628 MPU196628 MFY196628 LWC196628 LMG196628 LCK196628 KSO196628 KIS196628 JYW196628 JPA196628 JFE196628 IVI196628 ILM196628 IBQ196628 HRU196628 HHY196628 GYC196628 GOG196628 GEK196628 FUO196628 FKS196628 FAW196628 ERA196628 EHE196628 DXI196628 DNM196628 DDQ196628 CTU196628 CJY196628 CAC196628 BQG196628 BGK196628 AWO196628 AMS196628 ACW196628 TA196628 JE196628 H196628 WVQ131092 WLU131092 WBY131092 VSC131092 VIG131092 UYK131092 UOO131092 UES131092 TUW131092 TLA131092 TBE131092 SRI131092 SHM131092 RXQ131092 RNU131092 RDY131092 QUC131092 QKG131092 QAK131092 PQO131092 PGS131092 OWW131092 ONA131092 ODE131092 NTI131092 NJM131092 MZQ131092 MPU131092 MFY131092 LWC131092 LMG131092 LCK131092 KSO131092 KIS131092 JYW131092 JPA131092 JFE131092 IVI131092 ILM131092 IBQ131092 HRU131092 HHY131092 GYC131092 GOG131092 GEK131092 FUO131092 FKS131092 FAW131092 ERA131092 EHE131092 DXI131092 DNM131092 DDQ131092 CTU131092 CJY131092 CAC131092 BQG131092 BGK131092 AWO131092 AMS131092 ACW131092 TA131092 JE131092 H131092 WVQ65556 WLU65556 WBY65556 VSC65556 VIG65556 UYK65556 UOO65556 UES65556 TUW65556 TLA65556 TBE65556 SRI65556 SHM65556 RXQ65556 RNU65556 RDY65556 QUC65556 QKG65556 QAK65556 PQO65556 PGS65556 OWW65556 ONA65556 ODE65556 NTI65556 NJM65556 MZQ65556 MPU65556 MFY65556 LWC65556 LMG65556 LCK65556 KSO65556 KIS65556 JYW65556 JPA65556 JFE65556 IVI65556 ILM65556 IBQ65556 HRU65556 HHY65556 GYC65556 GOG65556 GEK65556 FUO65556 FKS65556 FAW65556 ERA65556 EHE65556 DXI65556 DNM65556 DDQ65556 CTU65556 CJY65556 CAC65556 BQG65556 BGK65556 AWO65556 AMS65556 ACW65556 TA65556 JE65556 H65556 WVQ20 WLU20 WBY20 VSC20 VIG20 UYK20 UOO20 UES20 TUW20 TLA20 TBE20 SRI20 SHM20 RXQ20 RNU20 RDY20 QUC20 QKG20 QAK20 PQO20 PGS20 OWW20 ONA20 ODE20 NTI20 NJM20 MZQ20 MPU20 MFY20 LWC20 LMG20 LCK20 KSO20 KIS20 JYW20 JPA20 JFE20 IVI20 ILM20 IBQ20 HRU20 HHY20 GYC20 GOG20 GEK20 FUO20 FKS20 FAW20 ERA20 EHE20 DXI20 DNM20 DDQ20 CTU20 CJY20 CAC20 BQG20 BGK20 AWO20 AMS20 ACW20 TA20 JE20" xr:uid="{4FDBD337-1FDA-CA43-94AD-00A1E3A845ED}">
      <formula1>$B$71:$B$74</formula1>
    </dataValidation>
    <dataValidation type="list" showInputMessage="1" showErrorMessage="1" prompt="Pick from drop-down list_x000a_" sqref="D22 WVM983062 WLQ983062 WBU983062 VRY983062 VIC983062 UYG983062 UOK983062 UEO983062 TUS983062 TKW983062 TBA983062 SRE983062 SHI983062 RXM983062 RNQ983062 RDU983062 QTY983062 QKC983062 QAG983062 PQK983062 PGO983062 OWS983062 OMW983062 ODA983062 NTE983062 NJI983062 MZM983062 MPQ983062 MFU983062 LVY983062 LMC983062 LCG983062 KSK983062 KIO983062 JYS983062 JOW983062 JFA983062 IVE983062 ILI983062 IBM983062 HRQ983062 HHU983062 GXY983062 GOC983062 GEG983062 FUK983062 FKO983062 FAS983062 EQW983062 EHA983062 DXE983062 DNI983062 DDM983062 CTQ983062 CJU983062 BZY983062 BQC983062 BGG983062 AWK983062 AMO983062 ACS983062 SW983062 JA983062 D983062 WVM917526 WLQ917526 WBU917526 VRY917526 VIC917526 UYG917526 UOK917526 UEO917526 TUS917526 TKW917526 TBA917526 SRE917526 SHI917526 RXM917526 RNQ917526 RDU917526 QTY917526 QKC917526 QAG917526 PQK917526 PGO917526 OWS917526 OMW917526 ODA917526 NTE917526 NJI917526 MZM917526 MPQ917526 MFU917526 LVY917526 LMC917526 LCG917526 KSK917526 KIO917526 JYS917526 JOW917526 JFA917526 IVE917526 ILI917526 IBM917526 HRQ917526 HHU917526 GXY917526 GOC917526 GEG917526 FUK917526 FKO917526 FAS917526 EQW917526 EHA917526 DXE917526 DNI917526 DDM917526 CTQ917526 CJU917526 BZY917526 BQC917526 BGG917526 AWK917526 AMO917526 ACS917526 SW917526 JA917526 D917526 WVM851990 WLQ851990 WBU851990 VRY851990 VIC851990 UYG851990 UOK851990 UEO851990 TUS851990 TKW851990 TBA851990 SRE851990 SHI851990 RXM851990 RNQ851990 RDU851990 QTY851990 QKC851990 QAG851990 PQK851990 PGO851990 OWS851990 OMW851990 ODA851990 NTE851990 NJI851990 MZM851990 MPQ851990 MFU851990 LVY851990 LMC851990 LCG851990 KSK851990 KIO851990 JYS851990 JOW851990 JFA851990 IVE851990 ILI851990 IBM851990 HRQ851990 HHU851990 GXY851990 GOC851990 GEG851990 FUK851990 FKO851990 FAS851990 EQW851990 EHA851990 DXE851990 DNI851990 DDM851990 CTQ851990 CJU851990 BZY851990 BQC851990 BGG851990 AWK851990 AMO851990 ACS851990 SW851990 JA851990 D851990 WVM786454 WLQ786454 WBU786454 VRY786454 VIC786454 UYG786454 UOK786454 UEO786454 TUS786454 TKW786454 TBA786454 SRE786454 SHI786454 RXM786454 RNQ786454 RDU786454 QTY786454 QKC786454 QAG786454 PQK786454 PGO786454 OWS786454 OMW786454 ODA786454 NTE786454 NJI786454 MZM786454 MPQ786454 MFU786454 LVY786454 LMC786454 LCG786454 KSK786454 KIO786454 JYS786454 JOW786454 JFA786454 IVE786454 ILI786454 IBM786454 HRQ786454 HHU786454 GXY786454 GOC786454 GEG786454 FUK786454 FKO786454 FAS786454 EQW786454 EHA786454 DXE786454 DNI786454 DDM786454 CTQ786454 CJU786454 BZY786454 BQC786454 BGG786454 AWK786454 AMO786454 ACS786454 SW786454 JA786454 D786454 WVM720918 WLQ720918 WBU720918 VRY720918 VIC720918 UYG720918 UOK720918 UEO720918 TUS720918 TKW720918 TBA720918 SRE720918 SHI720918 RXM720918 RNQ720918 RDU720918 QTY720918 QKC720918 QAG720918 PQK720918 PGO720918 OWS720918 OMW720918 ODA720918 NTE720918 NJI720918 MZM720918 MPQ720918 MFU720918 LVY720918 LMC720918 LCG720918 KSK720918 KIO720918 JYS720918 JOW720918 JFA720918 IVE720918 ILI720918 IBM720918 HRQ720918 HHU720918 GXY720918 GOC720918 GEG720918 FUK720918 FKO720918 FAS720918 EQW720918 EHA720918 DXE720918 DNI720918 DDM720918 CTQ720918 CJU720918 BZY720918 BQC720918 BGG720918 AWK720918 AMO720918 ACS720918 SW720918 JA720918 D720918 WVM655382 WLQ655382 WBU655382 VRY655382 VIC655382 UYG655382 UOK655382 UEO655382 TUS655382 TKW655382 TBA655382 SRE655382 SHI655382 RXM655382 RNQ655382 RDU655382 QTY655382 QKC655382 QAG655382 PQK655382 PGO655382 OWS655382 OMW655382 ODA655382 NTE655382 NJI655382 MZM655382 MPQ655382 MFU655382 LVY655382 LMC655382 LCG655382 KSK655382 KIO655382 JYS655382 JOW655382 JFA655382 IVE655382 ILI655382 IBM655382 HRQ655382 HHU655382 GXY655382 GOC655382 GEG655382 FUK655382 FKO655382 FAS655382 EQW655382 EHA655382 DXE655382 DNI655382 DDM655382 CTQ655382 CJU655382 BZY655382 BQC655382 BGG655382 AWK655382 AMO655382 ACS655382 SW655382 JA655382 D655382 WVM589846 WLQ589846 WBU589846 VRY589846 VIC589846 UYG589846 UOK589846 UEO589846 TUS589846 TKW589846 TBA589846 SRE589846 SHI589846 RXM589846 RNQ589846 RDU589846 QTY589846 QKC589846 QAG589846 PQK589846 PGO589846 OWS589846 OMW589846 ODA589846 NTE589846 NJI589846 MZM589846 MPQ589846 MFU589846 LVY589846 LMC589846 LCG589846 KSK589846 KIO589846 JYS589846 JOW589846 JFA589846 IVE589846 ILI589846 IBM589846 HRQ589846 HHU589846 GXY589846 GOC589846 GEG589846 FUK589846 FKO589846 FAS589846 EQW589846 EHA589846 DXE589846 DNI589846 DDM589846 CTQ589846 CJU589846 BZY589846 BQC589846 BGG589846 AWK589846 AMO589846 ACS589846 SW589846 JA589846 D589846 WVM524310 WLQ524310 WBU524310 VRY524310 VIC524310 UYG524310 UOK524310 UEO524310 TUS524310 TKW524310 TBA524310 SRE524310 SHI524310 RXM524310 RNQ524310 RDU524310 QTY524310 QKC524310 QAG524310 PQK524310 PGO524310 OWS524310 OMW524310 ODA524310 NTE524310 NJI524310 MZM524310 MPQ524310 MFU524310 LVY524310 LMC524310 LCG524310 KSK524310 KIO524310 JYS524310 JOW524310 JFA524310 IVE524310 ILI524310 IBM524310 HRQ524310 HHU524310 GXY524310 GOC524310 GEG524310 FUK524310 FKO524310 FAS524310 EQW524310 EHA524310 DXE524310 DNI524310 DDM524310 CTQ524310 CJU524310 BZY524310 BQC524310 BGG524310 AWK524310 AMO524310 ACS524310 SW524310 JA524310 D524310 WVM458774 WLQ458774 WBU458774 VRY458774 VIC458774 UYG458774 UOK458774 UEO458774 TUS458774 TKW458774 TBA458774 SRE458774 SHI458774 RXM458774 RNQ458774 RDU458774 QTY458774 QKC458774 QAG458774 PQK458774 PGO458774 OWS458774 OMW458774 ODA458774 NTE458774 NJI458774 MZM458774 MPQ458774 MFU458774 LVY458774 LMC458774 LCG458774 KSK458774 KIO458774 JYS458774 JOW458774 JFA458774 IVE458774 ILI458774 IBM458774 HRQ458774 HHU458774 GXY458774 GOC458774 GEG458774 FUK458774 FKO458774 FAS458774 EQW458774 EHA458774 DXE458774 DNI458774 DDM458774 CTQ458774 CJU458774 BZY458774 BQC458774 BGG458774 AWK458774 AMO458774 ACS458774 SW458774 JA458774 D458774 WVM393238 WLQ393238 WBU393238 VRY393238 VIC393238 UYG393238 UOK393238 UEO393238 TUS393238 TKW393238 TBA393238 SRE393238 SHI393238 RXM393238 RNQ393238 RDU393238 QTY393238 QKC393238 QAG393238 PQK393238 PGO393238 OWS393238 OMW393238 ODA393238 NTE393238 NJI393238 MZM393238 MPQ393238 MFU393238 LVY393238 LMC393238 LCG393238 KSK393238 KIO393238 JYS393238 JOW393238 JFA393238 IVE393238 ILI393238 IBM393238 HRQ393238 HHU393238 GXY393238 GOC393238 GEG393238 FUK393238 FKO393238 FAS393238 EQW393238 EHA393238 DXE393238 DNI393238 DDM393238 CTQ393238 CJU393238 BZY393238 BQC393238 BGG393238 AWK393238 AMO393238 ACS393238 SW393238 JA393238 D393238 WVM327702 WLQ327702 WBU327702 VRY327702 VIC327702 UYG327702 UOK327702 UEO327702 TUS327702 TKW327702 TBA327702 SRE327702 SHI327702 RXM327702 RNQ327702 RDU327702 QTY327702 QKC327702 QAG327702 PQK327702 PGO327702 OWS327702 OMW327702 ODA327702 NTE327702 NJI327702 MZM327702 MPQ327702 MFU327702 LVY327702 LMC327702 LCG327702 KSK327702 KIO327702 JYS327702 JOW327702 JFA327702 IVE327702 ILI327702 IBM327702 HRQ327702 HHU327702 GXY327702 GOC327702 GEG327702 FUK327702 FKO327702 FAS327702 EQW327702 EHA327702 DXE327702 DNI327702 DDM327702 CTQ327702 CJU327702 BZY327702 BQC327702 BGG327702 AWK327702 AMO327702 ACS327702 SW327702 JA327702 D327702 WVM262166 WLQ262166 WBU262166 VRY262166 VIC262166 UYG262166 UOK262166 UEO262166 TUS262166 TKW262166 TBA262166 SRE262166 SHI262166 RXM262166 RNQ262166 RDU262166 QTY262166 QKC262166 QAG262166 PQK262166 PGO262166 OWS262166 OMW262166 ODA262166 NTE262166 NJI262166 MZM262166 MPQ262166 MFU262166 LVY262166 LMC262166 LCG262166 KSK262166 KIO262166 JYS262166 JOW262166 JFA262166 IVE262166 ILI262166 IBM262166 HRQ262166 HHU262166 GXY262166 GOC262166 GEG262166 FUK262166 FKO262166 FAS262166 EQW262166 EHA262166 DXE262166 DNI262166 DDM262166 CTQ262166 CJU262166 BZY262166 BQC262166 BGG262166 AWK262166 AMO262166 ACS262166 SW262166 JA262166 D262166 WVM196630 WLQ196630 WBU196630 VRY196630 VIC196630 UYG196630 UOK196630 UEO196630 TUS196630 TKW196630 TBA196630 SRE196630 SHI196630 RXM196630 RNQ196630 RDU196630 QTY196630 QKC196630 QAG196630 PQK196630 PGO196630 OWS196630 OMW196630 ODA196630 NTE196630 NJI196630 MZM196630 MPQ196630 MFU196630 LVY196630 LMC196630 LCG196630 KSK196630 KIO196630 JYS196630 JOW196630 JFA196630 IVE196630 ILI196630 IBM196630 HRQ196630 HHU196630 GXY196630 GOC196630 GEG196630 FUK196630 FKO196630 FAS196630 EQW196630 EHA196630 DXE196630 DNI196630 DDM196630 CTQ196630 CJU196630 BZY196630 BQC196630 BGG196630 AWK196630 AMO196630 ACS196630 SW196630 JA196630 D196630 WVM131094 WLQ131094 WBU131094 VRY131094 VIC131094 UYG131094 UOK131094 UEO131094 TUS131094 TKW131094 TBA131094 SRE131094 SHI131094 RXM131094 RNQ131094 RDU131094 QTY131094 QKC131094 QAG131094 PQK131094 PGO131094 OWS131094 OMW131094 ODA131094 NTE131094 NJI131094 MZM131094 MPQ131094 MFU131094 LVY131094 LMC131094 LCG131094 KSK131094 KIO131094 JYS131094 JOW131094 JFA131094 IVE131094 ILI131094 IBM131094 HRQ131094 HHU131094 GXY131094 GOC131094 GEG131094 FUK131094 FKO131094 FAS131094 EQW131094 EHA131094 DXE131094 DNI131094 DDM131094 CTQ131094 CJU131094 BZY131094 BQC131094 BGG131094 AWK131094 AMO131094 ACS131094 SW131094 JA131094 D131094 WVM65558 WLQ65558 WBU65558 VRY65558 VIC65558 UYG65558 UOK65558 UEO65558 TUS65558 TKW65558 TBA65558 SRE65558 SHI65558 RXM65558 RNQ65558 RDU65558 QTY65558 QKC65558 QAG65558 PQK65558 PGO65558 OWS65558 OMW65558 ODA65558 NTE65558 NJI65558 MZM65558 MPQ65558 MFU65558 LVY65558 LMC65558 LCG65558 KSK65558 KIO65558 JYS65558 JOW65558 JFA65558 IVE65558 ILI65558 IBM65558 HRQ65558 HHU65558 GXY65558 GOC65558 GEG65558 FUK65558 FKO65558 FAS65558 EQW65558 EHA65558 DXE65558 DNI65558 DDM65558 CTQ65558 CJU65558 BZY65558 BQC65558 BGG65558 AWK65558 AMO65558 ACS65558 SW65558 JA65558 D65558 WVM22 WLQ22 WBU22 VRY22 VIC22 UYG22 UOK22 UEO22 TUS22 TKW22 TBA22 SRE22 SHI22 RXM22 RNQ22 RDU22 QTY22 QKC22 QAG22 PQK22 PGO22 OWS22 OMW22 ODA22 NTE22 NJI22 MZM22 MPQ22 MFU22 LVY22 LMC22 LCG22 KSK22 KIO22 JYS22 JOW22 JFA22 IVE22 ILI22 IBM22 HRQ22 HHU22 GXY22 GOC22 GEG22 FUK22 FKO22 FAS22 EQW22 EHA22 DXE22 DNI22 DDM22 CTQ22 CJU22 BZY22 BQC22 BGG22 AWK22 AMO22 ACS22 SW22 JA22" xr:uid="{1D0EBE65-8FCE-5948-84B5-3EE407C7E074}">
      <formula1>$B$76:$B$79</formula1>
    </dataValidation>
    <dataValidation type="list" allowBlank="1" showInputMessage="1" showErrorMessage="1" prompt="Pick from drop-down list" sqref="H21 WVQ983061 WLU983061 WBY983061 VSC983061 VIG983061 UYK983061 UOO983061 UES983061 TUW983061 TLA983061 TBE983061 SRI983061 SHM983061 RXQ983061 RNU983061 RDY983061 QUC983061 QKG983061 QAK983061 PQO983061 PGS983061 OWW983061 ONA983061 ODE983061 NTI983061 NJM983061 MZQ983061 MPU983061 MFY983061 LWC983061 LMG983061 LCK983061 KSO983061 KIS983061 JYW983061 JPA983061 JFE983061 IVI983061 ILM983061 IBQ983061 HRU983061 HHY983061 GYC983061 GOG983061 GEK983061 FUO983061 FKS983061 FAW983061 ERA983061 EHE983061 DXI983061 DNM983061 DDQ983061 CTU983061 CJY983061 CAC983061 BQG983061 BGK983061 AWO983061 AMS983061 ACW983061 TA983061 JE983061 H983061 WVQ917525 WLU917525 WBY917525 VSC917525 VIG917525 UYK917525 UOO917525 UES917525 TUW917525 TLA917525 TBE917525 SRI917525 SHM917525 RXQ917525 RNU917525 RDY917525 QUC917525 QKG917525 QAK917525 PQO917525 PGS917525 OWW917525 ONA917525 ODE917525 NTI917525 NJM917525 MZQ917525 MPU917525 MFY917525 LWC917525 LMG917525 LCK917525 KSO917525 KIS917525 JYW917525 JPA917525 JFE917525 IVI917525 ILM917525 IBQ917525 HRU917525 HHY917525 GYC917525 GOG917525 GEK917525 FUO917525 FKS917525 FAW917525 ERA917525 EHE917525 DXI917525 DNM917525 DDQ917525 CTU917525 CJY917525 CAC917525 BQG917525 BGK917525 AWO917525 AMS917525 ACW917525 TA917525 JE917525 H917525 WVQ851989 WLU851989 WBY851989 VSC851989 VIG851989 UYK851989 UOO851989 UES851989 TUW851989 TLA851989 TBE851989 SRI851989 SHM851989 RXQ851989 RNU851989 RDY851989 QUC851989 QKG851989 QAK851989 PQO851989 PGS851989 OWW851989 ONA851989 ODE851989 NTI851989 NJM851989 MZQ851989 MPU851989 MFY851989 LWC851989 LMG851989 LCK851989 KSO851989 KIS851989 JYW851989 JPA851989 JFE851989 IVI851989 ILM851989 IBQ851989 HRU851989 HHY851989 GYC851989 GOG851989 GEK851989 FUO851989 FKS851989 FAW851989 ERA851989 EHE851989 DXI851989 DNM851989 DDQ851989 CTU851989 CJY851989 CAC851989 BQG851989 BGK851989 AWO851989 AMS851989 ACW851989 TA851989 JE851989 H851989 WVQ786453 WLU786453 WBY786453 VSC786453 VIG786453 UYK786453 UOO786453 UES786453 TUW786453 TLA786453 TBE786453 SRI786453 SHM786453 RXQ786453 RNU786453 RDY786453 QUC786453 QKG786453 QAK786453 PQO786453 PGS786453 OWW786453 ONA786453 ODE786453 NTI786453 NJM786453 MZQ786453 MPU786453 MFY786453 LWC786453 LMG786453 LCK786453 KSO786453 KIS786453 JYW786453 JPA786453 JFE786453 IVI786453 ILM786453 IBQ786453 HRU786453 HHY786453 GYC786453 GOG786453 GEK786453 FUO786453 FKS786453 FAW786453 ERA786453 EHE786453 DXI786453 DNM786453 DDQ786453 CTU786453 CJY786453 CAC786453 BQG786453 BGK786453 AWO786453 AMS786453 ACW786453 TA786453 JE786453 H786453 WVQ720917 WLU720917 WBY720917 VSC720917 VIG720917 UYK720917 UOO720917 UES720917 TUW720917 TLA720917 TBE720917 SRI720917 SHM720917 RXQ720917 RNU720917 RDY720917 QUC720917 QKG720917 QAK720917 PQO720917 PGS720917 OWW720917 ONA720917 ODE720917 NTI720917 NJM720917 MZQ720917 MPU720917 MFY720917 LWC720917 LMG720917 LCK720917 KSO720917 KIS720917 JYW720917 JPA720917 JFE720917 IVI720917 ILM720917 IBQ720917 HRU720917 HHY720917 GYC720917 GOG720917 GEK720917 FUO720917 FKS720917 FAW720917 ERA720917 EHE720917 DXI720917 DNM720917 DDQ720917 CTU720917 CJY720917 CAC720917 BQG720917 BGK720917 AWO720917 AMS720917 ACW720917 TA720917 JE720917 H720917 WVQ655381 WLU655381 WBY655381 VSC655381 VIG655381 UYK655381 UOO655381 UES655381 TUW655381 TLA655381 TBE655381 SRI655381 SHM655381 RXQ655381 RNU655381 RDY655381 QUC655381 QKG655381 QAK655381 PQO655381 PGS655381 OWW655381 ONA655381 ODE655381 NTI655381 NJM655381 MZQ655381 MPU655381 MFY655381 LWC655381 LMG655381 LCK655381 KSO655381 KIS655381 JYW655381 JPA655381 JFE655381 IVI655381 ILM655381 IBQ655381 HRU655381 HHY655381 GYC655381 GOG655381 GEK655381 FUO655381 FKS655381 FAW655381 ERA655381 EHE655381 DXI655381 DNM655381 DDQ655381 CTU655381 CJY655381 CAC655381 BQG655381 BGK655381 AWO655381 AMS655381 ACW655381 TA655381 JE655381 H655381 WVQ589845 WLU589845 WBY589845 VSC589845 VIG589845 UYK589845 UOO589845 UES589845 TUW589845 TLA589845 TBE589845 SRI589845 SHM589845 RXQ589845 RNU589845 RDY589845 QUC589845 QKG589845 QAK589845 PQO589845 PGS589845 OWW589845 ONA589845 ODE589845 NTI589845 NJM589845 MZQ589845 MPU589845 MFY589845 LWC589845 LMG589845 LCK589845 KSO589845 KIS589845 JYW589845 JPA589845 JFE589845 IVI589845 ILM589845 IBQ589845 HRU589845 HHY589845 GYC589845 GOG589845 GEK589845 FUO589845 FKS589845 FAW589845 ERA589845 EHE589845 DXI589845 DNM589845 DDQ589845 CTU589845 CJY589845 CAC589845 BQG589845 BGK589845 AWO589845 AMS589845 ACW589845 TA589845 JE589845 H589845 WVQ524309 WLU524309 WBY524309 VSC524309 VIG524309 UYK524309 UOO524309 UES524309 TUW524309 TLA524309 TBE524309 SRI524309 SHM524309 RXQ524309 RNU524309 RDY524309 QUC524309 QKG524309 QAK524309 PQO524309 PGS524309 OWW524309 ONA524309 ODE524309 NTI524309 NJM524309 MZQ524309 MPU524309 MFY524309 LWC524309 LMG524309 LCK524309 KSO524309 KIS524309 JYW524309 JPA524309 JFE524309 IVI524309 ILM524309 IBQ524309 HRU524309 HHY524309 GYC524309 GOG524309 GEK524309 FUO524309 FKS524309 FAW524309 ERA524309 EHE524309 DXI524309 DNM524309 DDQ524309 CTU524309 CJY524309 CAC524309 BQG524309 BGK524309 AWO524309 AMS524309 ACW524309 TA524309 JE524309 H524309 WVQ458773 WLU458773 WBY458773 VSC458773 VIG458773 UYK458773 UOO458773 UES458773 TUW458773 TLA458773 TBE458773 SRI458773 SHM458773 RXQ458773 RNU458773 RDY458773 QUC458773 QKG458773 QAK458773 PQO458773 PGS458773 OWW458773 ONA458773 ODE458773 NTI458773 NJM458773 MZQ458773 MPU458773 MFY458773 LWC458773 LMG458773 LCK458773 KSO458773 KIS458773 JYW458773 JPA458773 JFE458773 IVI458773 ILM458773 IBQ458773 HRU458773 HHY458773 GYC458773 GOG458773 GEK458773 FUO458773 FKS458773 FAW458773 ERA458773 EHE458773 DXI458773 DNM458773 DDQ458773 CTU458773 CJY458773 CAC458773 BQG458773 BGK458773 AWO458773 AMS458773 ACW458773 TA458773 JE458773 H458773 WVQ393237 WLU393237 WBY393237 VSC393237 VIG393237 UYK393237 UOO393237 UES393237 TUW393237 TLA393237 TBE393237 SRI393237 SHM393237 RXQ393237 RNU393237 RDY393237 QUC393237 QKG393237 QAK393237 PQO393237 PGS393237 OWW393237 ONA393237 ODE393237 NTI393237 NJM393237 MZQ393237 MPU393237 MFY393237 LWC393237 LMG393237 LCK393237 KSO393237 KIS393237 JYW393237 JPA393237 JFE393237 IVI393237 ILM393237 IBQ393237 HRU393237 HHY393237 GYC393237 GOG393237 GEK393237 FUO393237 FKS393237 FAW393237 ERA393237 EHE393237 DXI393237 DNM393237 DDQ393237 CTU393237 CJY393237 CAC393237 BQG393237 BGK393237 AWO393237 AMS393237 ACW393237 TA393237 JE393237 H393237 WVQ327701 WLU327701 WBY327701 VSC327701 VIG327701 UYK327701 UOO327701 UES327701 TUW327701 TLA327701 TBE327701 SRI327701 SHM327701 RXQ327701 RNU327701 RDY327701 QUC327701 QKG327701 QAK327701 PQO327701 PGS327701 OWW327701 ONA327701 ODE327701 NTI327701 NJM327701 MZQ327701 MPU327701 MFY327701 LWC327701 LMG327701 LCK327701 KSO327701 KIS327701 JYW327701 JPA327701 JFE327701 IVI327701 ILM327701 IBQ327701 HRU327701 HHY327701 GYC327701 GOG327701 GEK327701 FUO327701 FKS327701 FAW327701 ERA327701 EHE327701 DXI327701 DNM327701 DDQ327701 CTU327701 CJY327701 CAC327701 BQG327701 BGK327701 AWO327701 AMS327701 ACW327701 TA327701 JE327701 H327701 WVQ262165 WLU262165 WBY262165 VSC262165 VIG262165 UYK262165 UOO262165 UES262165 TUW262165 TLA262165 TBE262165 SRI262165 SHM262165 RXQ262165 RNU262165 RDY262165 QUC262165 QKG262165 QAK262165 PQO262165 PGS262165 OWW262165 ONA262165 ODE262165 NTI262165 NJM262165 MZQ262165 MPU262165 MFY262165 LWC262165 LMG262165 LCK262165 KSO262165 KIS262165 JYW262165 JPA262165 JFE262165 IVI262165 ILM262165 IBQ262165 HRU262165 HHY262165 GYC262165 GOG262165 GEK262165 FUO262165 FKS262165 FAW262165 ERA262165 EHE262165 DXI262165 DNM262165 DDQ262165 CTU262165 CJY262165 CAC262165 BQG262165 BGK262165 AWO262165 AMS262165 ACW262165 TA262165 JE262165 H262165 WVQ196629 WLU196629 WBY196629 VSC196629 VIG196629 UYK196629 UOO196629 UES196629 TUW196629 TLA196629 TBE196629 SRI196629 SHM196629 RXQ196629 RNU196629 RDY196629 QUC196629 QKG196629 QAK196629 PQO196629 PGS196629 OWW196629 ONA196629 ODE196629 NTI196629 NJM196629 MZQ196629 MPU196629 MFY196629 LWC196629 LMG196629 LCK196629 KSO196629 KIS196629 JYW196629 JPA196629 JFE196629 IVI196629 ILM196629 IBQ196629 HRU196629 HHY196629 GYC196629 GOG196629 GEK196629 FUO196629 FKS196629 FAW196629 ERA196629 EHE196629 DXI196629 DNM196629 DDQ196629 CTU196629 CJY196629 CAC196629 BQG196629 BGK196629 AWO196629 AMS196629 ACW196629 TA196629 JE196629 H196629 WVQ131093 WLU131093 WBY131093 VSC131093 VIG131093 UYK131093 UOO131093 UES131093 TUW131093 TLA131093 TBE131093 SRI131093 SHM131093 RXQ131093 RNU131093 RDY131093 QUC131093 QKG131093 QAK131093 PQO131093 PGS131093 OWW131093 ONA131093 ODE131093 NTI131093 NJM131093 MZQ131093 MPU131093 MFY131093 LWC131093 LMG131093 LCK131093 KSO131093 KIS131093 JYW131093 JPA131093 JFE131093 IVI131093 ILM131093 IBQ131093 HRU131093 HHY131093 GYC131093 GOG131093 GEK131093 FUO131093 FKS131093 FAW131093 ERA131093 EHE131093 DXI131093 DNM131093 DDQ131093 CTU131093 CJY131093 CAC131093 BQG131093 BGK131093 AWO131093 AMS131093 ACW131093 TA131093 JE131093 H131093 WVQ65557 WLU65557 WBY65557 VSC65557 VIG65557 UYK65557 UOO65557 UES65557 TUW65557 TLA65557 TBE65557 SRI65557 SHM65557 RXQ65557 RNU65557 RDY65557 QUC65557 QKG65557 QAK65557 PQO65557 PGS65557 OWW65557 ONA65557 ODE65557 NTI65557 NJM65557 MZQ65557 MPU65557 MFY65557 LWC65557 LMG65557 LCK65557 KSO65557 KIS65557 JYW65557 JPA65557 JFE65557 IVI65557 ILM65557 IBQ65557 HRU65557 HHY65557 GYC65557 GOG65557 GEK65557 FUO65557 FKS65557 FAW65557 ERA65557 EHE65557 DXI65557 DNM65557 DDQ65557 CTU65557 CJY65557 CAC65557 BQG65557 BGK65557 AWO65557 AMS65557 ACW65557 TA65557 JE65557 H65557 WVQ21 WLU21 WBY21 VSC21 VIG21 UYK21 UOO21 UES21 TUW21 TLA21 TBE21 SRI21 SHM21 RXQ21 RNU21 RDY21 QUC21 QKG21 QAK21 PQO21 PGS21 OWW21 ONA21 ODE21 NTI21 NJM21 MZQ21 MPU21 MFY21 LWC21 LMG21 LCK21 KSO21 KIS21 JYW21 JPA21 JFE21 IVI21 ILM21 IBQ21 HRU21 HHY21 GYC21 GOG21 GEK21 FUO21 FKS21 FAW21 ERA21 EHE21 DXI21 DNM21 DDQ21 CTU21 CJY21 CAC21 BQG21 BGK21 AWO21 AMS21 ACW21 TA21 JE21" xr:uid="{9D2FC4AC-3265-3347-9DE2-C91CA2D28B38}">
      <formula1>$B$64:$B$65</formula1>
    </dataValidation>
  </dataValidations>
  <printOptions horizontalCentered="1" gridLinesSet="0"/>
  <pageMargins left="0" right="0" top="0" bottom="0" header="0.511811023622047" footer="0.511811023622047"/>
  <pageSetup scale="74"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3290-DFA5-4A6F-8AE3-E66F47999521}">
  <sheetPr transitionEvaluation="1">
    <tabColor rgb="FFFFC000"/>
  </sheetPr>
  <dimension ref="A1:AB172"/>
  <sheetViews>
    <sheetView showGridLines="0" zoomScale="110" zoomScaleNormal="110" workbookViewId="0">
      <selection activeCell="C29" sqref="C29"/>
    </sheetView>
  </sheetViews>
  <sheetFormatPr defaultColWidth="10.75" defaultRowHeight="14.5"/>
  <cols>
    <col min="1" max="1" width="25.08203125" style="189" bestFit="1" customWidth="1"/>
    <col min="2" max="2" width="7.75" style="189" bestFit="1" customWidth="1"/>
    <col min="3" max="3" width="10.25" style="190" customWidth="1"/>
    <col min="4" max="4" width="5" style="189" customWidth="1"/>
    <col min="5" max="5" width="18" style="192" customWidth="1"/>
    <col min="6" max="6" width="8.83203125" style="189" customWidth="1"/>
    <col min="7" max="7" width="6.33203125" style="189" bestFit="1" customWidth="1"/>
    <col min="8" max="8" width="19.33203125" style="189" customWidth="1"/>
    <col min="9" max="9" width="8.58203125" style="189" hidden="1" customWidth="1"/>
    <col min="10" max="10" width="5.33203125" style="189" hidden="1" customWidth="1"/>
    <col min="11" max="11" width="5.83203125" style="189" hidden="1" customWidth="1"/>
    <col min="12" max="12" width="10.83203125" style="189" hidden="1" customWidth="1"/>
    <col min="13" max="13" width="10.75" style="189" customWidth="1"/>
    <col min="14" max="14" width="11.83203125" style="189" customWidth="1"/>
    <col min="15" max="15" width="18.25" style="190" bestFit="1" customWidth="1"/>
    <col min="16" max="16" width="8.5" style="189" bestFit="1" customWidth="1"/>
    <col min="17" max="17" width="18.08203125" style="189" bestFit="1" customWidth="1"/>
    <col min="18" max="18" width="12.75" style="189" bestFit="1" customWidth="1"/>
    <col min="19" max="19" width="17.83203125" style="189" bestFit="1" customWidth="1"/>
    <col min="20" max="20" width="20.08203125" style="189" bestFit="1" customWidth="1"/>
    <col min="21" max="21" width="10.75" style="189"/>
    <col min="22" max="22" width="80.25" style="189" bestFit="1" customWidth="1"/>
    <col min="23" max="23" width="25" style="189" customWidth="1"/>
    <col min="24" max="24" width="10" style="189" bestFit="1" customWidth="1"/>
    <col min="25" max="25" width="25.75" style="189" bestFit="1" customWidth="1"/>
    <col min="26" max="26" width="8.25" style="189" bestFit="1" customWidth="1"/>
    <col min="27" max="27" width="6.58203125" style="189" bestFit="1" customWidth="1"/>
    <col min="28" max="28" width="7" style="189" bestFit="1" customWidth="1"/>
    <col min="29" max="16384" width="10.75" style="189"/>
  </cols>
  <sheetData>
    <row r="1" spans="1:28">
      <c r="A1" s="195"/>
      <c r="B1" s="190"/>
      <c r="C1" s="302"/>
      <c r="E1" s="189"/>
    </row>
    <row r="2" spans="1:28" ht="15" customHeight="1">
      <c r="A2" s="195"/>
      <c r="B2" s="245"/>
      <c r="C2" s="302"/>
      <c r="D2" s="581" t="s">
        <v>797</v>
      </c>
      <c r="E2" s="582"/>
    </row>
    <row r="3" spans="1:28" ht="18">
      <c r="A3" s="583"/>
      <c r="B3" s="190"/>
      <c r="C3" s="189"/>
      <c r="D3" s="581" t="s">
        <v>798</v>
      </c>
      <c r="E3" s="189"/>
      <c r="O3" s="936" t="s">
        <v>846</v>
      </c>
      <c r="P3" s="937"/>
      <c r="Q3" s="937"/>
      <c r="R3" s="937"/>
      <c r="S3" s="937"/>
      <c r="T3" s="937"/>
      <c r="U3" s="937"/>
      <c r="V3" s="937"/>
      <c r="W3" s="937"/>
      <c r="X3" s="937"/>
      <c r="Y3" s="937"/>
      <c r="Z3" s="937"/>
      <c r="AA3" s="937"/>
      <c r="AB3" s="938"/>
    </row>
    <row r="4" spans="1:28" ht="15.75" customHeight="1">
      <c r="D4" s="302" t="s">
        <v>357</v>
      </c>
      <c r="H4" s="193"/>
      <c r="I4" s="931"/>
      <c r="J4" s="931"/>
      <c r="O4" s="939" t="s">
        <v>816</v>
      </c>
      <c r="P4" s="939" t="s">
        <v>430</v>
      </c>
      <c r="Q4" s="659"/>
      <c r="R4" s="942" t="s">
        <v>432</v>
      </c>
      <c r="S4" s="939" t="s">
        <v>433</v>
      </c>
      <c r="T4" s="945" t="s">
        <v>383</v>
      </c>
      <c r="U4" s="946"/>
      <c r="V4" s="951" t="s">
        <v>381</v>
      </c>
      <c r="W4" s="942"/>
      <c r="X4" s="956" t="s">
        <v>847</v>
      </c>
      <c r="Y4" s="957"/>
      <c r="Z4" s="957"/>
      <c r="AA4" s="957"/>
      <c r="AB4" s="958"/>
    </row>
    <row r="5" spans="1:28">
      <c r="A5" s="196"/>
      <c r="B5" s="302"/>
      <c r="E5" s="191"/>
      <c r="F5" s="931"/>
      <c r="G5" s="931"/>
      <c r="H5" s="189" t="s">
        <v>208</v>
      </c>
      <c r="O5" s="940"/>
      <c r="P5" s="940"/>
      <c r="Q5" s="679" t="s">
        <v>431</v>
      </c>
      <c r="R5" s="943"/>
      <c r="S5" s="940"/>
      <c r="T5" s="947"/>
      <c r="U5" s="948"/>
      <c r="V5" s="952"/>
      <c r="W5" s="944"/>
      <c r="X5" s="959" t="s">
        <v>848</v>
      </c>
      <c r="Y5" s="960"/>
      <c r="Z5" s="960"/>
      <c r="AA5" s="960"/>
      <c r="AB5" s="961"/>
    </row>
    <row r="6" spans="1:28">
      <c r="A6" s="197"/>
      <c r="B6" s="192"/>
      <c r="E6" s="191"/>
      <c r="F6" s="191"/>
      <c r="G6" s="305"/>
      <c r="O6" s="941"/>
      <c r="P6" s="941"/>
      <c r="Q6" s="661"/>
      <c r="R6" s="944"/>
      <c r="S6" s="941"/>
      <c r="T6" s="949"/>
      <c r="U6" s="950"/>
      <c r="V6" s="682" t="s">
        <v>849</v>
      </c>
      <c r="W6" s="682" t="s">
        <v>850</v>
      </c>
      <c r="X6" s="683" t="s">
        <v>851</v>
      </c>
      <c r="Y6" s="683" t="s">
        <v>815</v>
      </c>
      <c r="Z6" s="680" t="s">
        <v>423</v>
      </c>
      <c r="AA6" s="683" t="s">
        <v>805</v>
      </c>
      <c r="AB6" s="681" t="s">
        <v>852</v>
      </c>
    </row>
    <row r="7" spans="1:28" ht="15" thickBot="1">
      <c r="A7" s="584" t="s">
        <v>799</v>
      </c>
      <c r="B7" s="192"/>
      <c r="E7" s="191"/>
      <c r="F7" s="191"/>
      <c r="G7" s="585"/>
      <c r="O7" s="684" t="s">
        <v>374</v>
      </c>
      <c r="P7" s="962">
        <v>0.71499999999999997</v>
      </c>
      <c r="Q7" s="965">
        <v>1.62</v>
      </c>
      <c r="R7" s="967">
        <v>0.28999999999999998</v>
      </c>
      <c r="S7" s="971">
        <v>8.9300000000000004E-2</v>
      </c>
      <c r="T7" s="974" t="s">
        <v>853</v>
      </c>
      <c r="U7" s="975"/>
      <c r="V7" s="685" t="s">
        <v>854</v>
      </c>
      <c r="W7" s="980">
        <v>0</v>
      </c>
      <c r="X7" s="983">
        <v>0</v>
      </c>
      <c r="Y7" s="983">
        <v>0.2616</v>
      </c>
      <c r="Z7" s="986">
        <v>0.379</v>
      </c>
      <c r="AA7" s="983">
        <v>0.2959</v>
      </c>
      <c r="AB7" s="989">
        <v>0.67530000000000001</v>
      </c>
    </row>
    <row r="8" spans="1:28">
      <c r="A8" s="586" t="s">
        <v>373</v>
      </c>
      <c r="B8" s="587"/>
      <c r="C8" s="588" t="s">
        <v>800</v>
      </c>
      <c r="E8" s="589" t="s">
        <v>449</v>
      </c>
      <c r="F8" s="590"/>
      <c r="G8" s="591">
        <f>IF(C10=A77,0,IF(C17&gt;=7.1,0.702,IF(C17&lt;1.2,0.022, 0.337)))</f>
        <v>0.70199999999999996</v>
      </c>
      <c r="O8" s="666" t="s">
        <v>855</v>
      </c>
      <c r="P8" s="963"/>
      <c r="Q8" s="966"/>
      <c r="R8" s="968"/>
      <c r="S8" s="972"/>
      <c r="T8" s="976"/>
      <c r="U8" s="977"/>
      <c r="V8" s="685" t="s">
        <v>856</v>
      </c>
      <c r="W8" s="981"/>
      <c r="X8" s="984"/>
      <c r="Y8" s="984"/>
      <c r="Z8" s="987"/>
      <c r="AA8" s="984"/>
      <c r="AB8" s="990"/>
    </row>
    <row r="9" spans="1:28">
      <c r="A9" s="592" t="s">
        <v>801</v>
      </c>
      <c r="B9" s="593"/>
      <c r="C9" s="594" t="s">
        <v>802</v>
      </c>
      <c r="E9" s="595" t="s">
        <v>372</v>
      </c>
      <c r="F9" s="596"/>
      <c r="G9" s="597">
        <f>VLOOKUP(K9,DUTY!E:F,2,FALSE)</f>
        <v>0</v>
      </c>
      <c r="I9" s="189" t="s">
        <v>803</v>
      </c>
      <c r="K9" s="598" t="str">
        <f>C8&amp;C9&amp;C10</f>
        <v>WineYCPTPP</v>
      </c>
      <c r="O9" s="666" t="s">
        <v>435</v>
      </c>
      <c r="P9" s="964"/>
      <c r="Q9" s="966"/>
      <c r="R9" s="968"/>
      <c r="S9" s="972"/>
      <c r="T9" s="976"/>
      <c r="U9" s="977"/>
      <c r="V9" s="980">
        <v>0</v>
      </c>
      <c r="W9" s="981"/>
      <c r="X9" s="984"/>
      <c r="Y9" s="984"/>
      <c r="Z9" s="987"/>
      <c r="AA9" s="984"/>
      <c r="AB9" s="990"/>
    </row>
    <row r="10" spans="1:28">
      <c r="A10" s="592" t="s">
        <v>804</v>
      </c>
      <c r="B10" s="593"/>
      <c r="C10" s="594" t="s">
        <v>805</v>
      </c>
      <c r="E10" s="599" t="s">
        <v>363</v>
      </c>
      <c r="G10" s="600">
        <f>(VLOOKUP(C10,A110:B114,2,TRUE))</f>
        <v>0.2959</v>
      </c>
      <c r="O10" s="666" t="s">
        <v>434</v>
      </c>
      <c r="P10" s="686">
        <v>0.69299999999999995</v>
      </c>
      <c r="Q10" s="966"/>
      <c r="R10" s="968"/>
      <c r="S10" s="972"/>
      <c r="T10" s="976"/>
      <c r="U10" s="977"/>
      <c r="V10" s="981"/>
      <c r="W10" s="981"/>
      <c r="X10" s="984"/>
      <c r="Y10" s="984"/>
      <c r="Z10" s="987"/>
      <c r="AA10" s="984"/>
      <c r="AB10" s="990"/>
    </row>
    <row r="11" spans="1:28">
      <c r="A11" s="601" t="s">
        <v>949</v>
      </c>
      <c r="B11" s="602"/>
      <c r="C11" s="603">
        <v>90</v>
      </c>
      <c r="E11" s="599" t="s">
        <v>359</v>
      </c>
      <c r="G11" s="604">
        <f>IF(OR(C8=A86,C8=A87,C8=A88,C8=A89,C8=A90,C8=A91),B86,E88)</f>
        <v>1.62</v>
      </c>
      <c r="O11" s="666" t="s">
        <v>857</v>
      </c>
      <c r="P11" s="686">
        <v>1.1399999999999999</v>
      </c>
      <c r="Q11" s="687"/>
      <c r="R11" s="968"/>
      <c r="S11" s="972"/>
      <c r="T11" s="976"/>
      <c r="U11" s="977"/>
      <c r="V11" s="981"/>
      <c r="W11" s="981"/>
      <c r="X11" s="984"/>
      <c r="Y11" s="984"/>
      <c r="Z11" s="987"/>
      <c r="AA11" s="984"/>
      <c r="AB11" s="990"/>
    </row>
    <row r="12" spans="1:28">
      <c r="A12" s="605" t="s">
        <v>360</v>
      </c>
      <c r="B12" s="602"/>
      <c r="C12" s="748">
        <f>'Exchange Rate data'!D9</f>
        <v>0.89680499999999996</v>
      </c>
      <c r="E12" s="599" t="s">
        <v>361</v>
      </c>
      <c r="G12" s="604">
        <v>0.28999999999999998</v>
      </c>
      <c r="O12" s="688" t="s">
        <v>858</v>
      </c>
      <c r="P12" s="689">
        <v>1.1399999999999999</v>
      </c>
      <c r="Q12" s="664">
        <v>0</v>
      </c>
      <c r="R12" s="969"/>
      <c r="S12" s="972"/>
      <c r="T12" s="978"/>
      <c r="U12" s="979"/>
      <c r="V12" s="981"/>
      <c r="W12" s="981"/>
      <c r="X12" s="984"/>
      <c r="Y12" s="984"/>
      <c r="Z12" s="987"/>
      <c r="AA12" s="984"/>
      <c r="AB12" s="990"/>
    </row>
    <row r="13" spans="1:28">
      <c r="A13" s="592" t="s">
        <v>362</v>
      </c>
      <c r="B13" s="606"/>
      <c r="C13" s="603">
        <v>0</v>
      </c>
      <c r="E13" s="607" t="s">
        <v>365</v>
      </c>
      <c r="G13" s="608">
        <f>VLOOKUP(C8,A117:B123,2,TRUE)</f>
        <v>0.71499999999999997</v>
      </c>
      <c r="O13" s="666" t="s">
        <v>811</v>
      </c>
      <c r="P13" s="689">
        <v>0.64600000000000002</v>
      </c>
      <c r="Q13" s="664">
        <v>1.62</v>
      </c>
      <c r="R13" s="970"/>
      <c r="S13" s="973"/>
      <c r="T13" s="992" t="s">
        <v>859</v>
      </c>
      <c r="U13" s="993"/>
      <c r="V13" s="982"/>
      <c r="W13" s="982"/>
      <c r="X13" s="985"/>
      <c r="Y13" s="985"/>
      <c r="Z13" s="988"/>
      <c r="AA13" s="985"/>
      <c r="AB13" s="991"/>
    </row>
    <row r="14" spans="1:28" ht="15" thickBot="1">
      <c r="A14" s="592" t="s">
        <v>364</v>
      </c>
      <c r="B14" s="602"/>
      <c r="C14" s="609">
        <v>0.75</v>
      </c>
      <c r="E14" s="610" t="s">
        <v>367</v>
      </c>
      <c r="G14" s="611">
        <v>8.9300000000000004E-2</v>
      </c>
      <c r="O14" s="690"/>
      <c r="P14" s="691"/>
      <c r="Q14" s="692"/>
      <c r="R14" s="298"/>
      <c r="S14" s="298"/>
      <c r="T14" s="298"/>
      <c r="U14" s="298"/>
      <c r="V14" s="192"/>
      <c r="W14" s="693"/>
      <c r="X14" s="298"/>
      <c r="Y14" s="298"/>
      <c r="Z14" s="298"/>
      <c r="AA14" s="298"/>
      <c r="AB14" s="298"/>
    </row>
    <row r="15" spans="1:28" ht="18.5" thickBot="1">
      <c r="A15" s="592" t="s">
        <v>366</v>
      </c>
      <c r="B15" s="602"/>
      <c r="C15" s="612">
        <v>12</v>
      </c>
      <c r="E15" s="599" t="s">
        <v>369</v>
      </c>
      <c r="G15" s="608">
        <v>0.13</v>
      </c>
      <c r="O15" s="953" t="s">
        <v>860</v>
      </c>
      <c r="P15" s="954"/>
      <c r="Q15" s="954"/>
      <c r="R15" s="954"/>
      <c r="S15" s="954"/>
      <c r="T15" s="955"/>
      <c r="U15" s="233"/>
      <c r="V15" s="714" t="s">
        <v>424</v>
      </c>
      <c r="W15" s="715" t="s">
        <v>924</v>
      </c>
      <c r="X15" s="713"/>
      <c r="Y15" s="713"/>
      <c r="Z15" s="233"/>
      <c r="AA15" s="233"/>
      <c r="AB15" s="233"/>
    </row>
    <row r="16" spans="1:28" ht="16" thickBot="1">
      <c r="A16" s="592" t="s">
        <v>368</v>
      </c>
      <c r="B16" s="602"/>
      <c r="C16" s="613">
        <v>1</v>
      </c>
      <c r="E16" s="614" t="s">
        <v>371</v>
      </c>
      <c r="F16" s="615"/>
      <c r="G16" s="616">
        <f>IF(C14/C16&gt;0.63,0.2,IF(C14/C16&gt;0.1,0.1,0))</f>
        <v>0.2</v>
      </c>
      <c r="O16" s="694" t="s">
        <v>379</v>
      </c>
      <c r="P16" s="695" t="s">
        <v>815</v>
      </c>
      <c r="Q16" s="695" t="s">
        <v>423</v>
      </c>
      <c r="R16" s="695" t="s">
        <v>805</v>
      </c>
      <c r="S16" s="999" t="s">
        <v>861</v>
      </c>
      <c r="T16" s="1000"/>
      <c r="U16" s="233"/>
      <c r="V16" s="716" t="s">
        <v>425</v>
      </c>
      <c r="W16" s="717">
        <v>0</v>
      </c>
      <c r="X16" s="692"/>
      <c r="Y16" s="298"/>
      <c r="Z16" s="233"/>
      <c r="AA16" s="233"/>
      <c r="AB16" s="233"/>
    </row>
    <row r="17" spans="1:28" ht="16" thickBot="1">
      <c r="A17" s="617" t="s">
        <v>375</v>
      </c>
      <c r="B17" s="618"/>
      <c r="C17" s="619">
        <v>13</v>
      </c>
      <c r="H17" s="274"/>
      <c r="O17" s="1001" t="s">
        <v>52</v>
      </c>
      <c r="P17" s="696" t="s">
        <v>862</v>
      </c>
      <c r="Q17" s="696" t="s">
        <v>745</v>
      </c>
      <c r="R17" s="696" t="s">
        <v>863</v>
      </c>
      <c r="S17" s="697" t="s">
        <v>864</v>
      </c>
      <c r="T17" s="698" t="s">
        <v>865</v>
      </c>
      <c r="U17" s="697"/>
      <c r="V17" s="718" t="s">
        <v>426</v>
      </c>
      <c r="W17" s="719">
        <v>0.1</v>
      </c>
      <c r="X17" s="692"/>
      <c r="Y17" s="298"/>
      <c r="Z17" s="233"/>
      <c r="AA17" s="233"/>
      <c r="AB17" s="233"/>
    </row>
    <row r="18" spans="1:28" ht="21.5" thickBot="1">
      <c r="A18" s="620" t="s">
        <v>806</v>
      </c>
      <c r="B18" s="621"/>
      <c r="C18" s="622">
        <f>C51</f>
        <v>16.25</v>
      </c>
      <c r="E18" s="189"/>
      <c r="O18" s="1002"/>
      <c r="P18" s="696" t="s">
        <v>48</v>
      </c>
      <c r="Q18" s="696" t="s">
        <v>50</v>
      </c>
      <c r="R18" s="696" t="s">
        <v>866</v>
      </c>
      <c r="S18" s="697" t="s">
        <v>867</v>
      </c>
      <c r="T18" s="699" t="s">
        <v>868</v>
      </c>
      <c r="U18" s="697"/>
      <c r="V18" s="718" t="s">
        <v>427</v>
      </c>
      <c r="W18" s="719">
        <v>0.2</v>
      </c>
      <c r="X18" s="692"/>
      <c r="Y18" s="298"/>
      <c r="Z18" s="233"/>
      <c r="AA18" s="233"/>
      <c r="AB18" s="233"/>
    </row>
    <row r="19" spans="1:28" ht="16" thickBot="1">
      <c r="B19" s="623"/>
      <c r="C19" s="623"/>
      <c r="E19" s="189"/>
      <c r="I19" s="194"/>
      <c r="N19" s="225"/>
      <c r="O19" s="1002"/>
      <c r="P19" s="700"/>
      <c r="Q19" s="696" t="s">
        <v>869</v>
      </c>
      <c r="R19" s="696" t="s">
        <v>55</v>
      </c>
      <c r="S19" s="697" t="s">
        <v>870</v>
      </c>
      <c r="T19" s="701" t="s">
        <v>871</v>
      </c>
      <c r="U19" s="702"/>
      <c r="V19" s="718" t="s">
        <v>428</v>
      </c>
      <c r="W19" s="719">
        <v>0.1</v>
      </c>
      <c r="X19" s="692"/>
      <c r="Y19" s="298"/>
      <c r="Z19" s="233"/>
      <c r="AA19" s="233"/>
      <c r="AB19" s="233"/>
    </row>
    <row r="20" spans="1:28" ht="16" hidden="1" thickBot="1">
      <c r="C20" s="189"/>
      <c r="I20" s="624"/>
      <c r="N20" s="225"/>
      <c r="O20" s="1002"/>
      <c r="P20" s="700"/>
      <c r="Q20" s="696" t="s">
        <v>746</v>
      </c>
      <c r="R20" s="696" t="s">
        <v>872</v>
      </c>
      <c r="S20" s="697" t="s">
        <v>873</v>
      </c>
      <c r="T20" s="701" t="s">
        <v>874</v>
      </c>
      <c r="U20" s="702"/>
      <c r="V20" s="720" t="s">
        <v>429</v>
      </c>
      <c r="W20" s="721">
        <v>0.2</v>
      </c>
      <c r="X20" s="692"/>
      <c r="Y20" s="298"/>
      <c r="Z20" s="233"/>
      <c r="AA20" s="233"/>
      <c r="AB20" s="233"/>
    </row>
    <row r="21" spans="1:28" ht="16" thickBot="1">
      <c r="A21" s="625" t="s">
        <v>807</v>
      </c>
      <c r="C21" s="626"/>
      <c r="E21" s="627" t="s">
        <v>382</v>
      </c>
      <c r="F21" s="628"/>
      <c r="G21" s="629"/>
      <c r="O21" s="1002"/>
      <c r="P21" s="700"/>
      <c r="Q21" s="696" t="s">
        <v>747</v>
      </c>
      <c r="R21" s="696" t="s">
        <v>875</v>
      </c>
      <c r="S21" s="697" t="s">
        <v>876</v>
      </c>
      <c r="T21" s="701" t="s">
        <v>877</v>
      </c>
      <c r="U21" s="702"/>
      <c r="V21" s="190"/>
      <c r="X21" s="692"/>
      <c r="Y21" s="298"/>
      <c r="Z21" s="233"/>
      <c r="AA21" s="233"/>
      <c r="AB21" s="233"/>
    </row>
    <row r="22" spans="1:28" ht="15.5">
      <c r="A22" s="630" t="s">
        <v>380</v>
      </c>
      <c r="B22" s="590"/>
      <c r="C22" s="631">
        <f>ROUND((C11*C12),4)</f>
        <v>80.712500000000006</v>
      </c>
      <c r="E22" s="632" t="s">
        <v>385</v>
      </c>
      <c r="F22" s="633">
        <f>C45</f>
        <v>14.200000000000001</v>
      </c>
      <c r="G22" s="634"/>
      <c r="I22" s="624"/>
      <c r="O22" s="1002"/>
      <c r="P22" s="700"/>
      <c r="Q22" s="696" t="s">
        <v>878</v>
      </c>
      <c r="R22" s="696" t="s">
        <v>58</v>
      </c>
      <c r="S22" s="697" t="s">
        <v>879</v>
      </c>
      <c r="T22" s="701" t="s">
        <v>880</v>
      </c>
      <c r="U22" s="702"/>
      <c r="V22" s="995" t="s">
        <v>925</v>
      </c>
      <c r="W22" s="996"/>
      <c r="X22" s="233"/>
      <c r="Y22" s="233"/>
      <c r="Z22" s="233"/>
      <c r="AA22" s="233"/>
      <c r="AB22" s="233"/>
    </row>
    <row r="23" spans="1:28" ht="15.5">
      <c r="A23" s="635" t="s">
        <v>381</v>
      </c>
      <c r="C23" s="636">
        <f>IF(G9=0.1228, ROUND(B126*G9,4),ROUND((C14*C15)*G9,4))</f>
        <v>0</v>
      </c>
      <c r="E23" s="599"/>
      <c r="F23" s="637"/>
      <c r="G23" s="251"/>
      <c r="O23" s="1002"/>
      <c r="P23" s="1004"/>
      <c r="Q23" s="696" t="s">
        <v>881</v>
      </c>
      <c r="R23" s="696" t="s">
        <v>882</v>
      </c>
      <c r="S23" s="703" t="s">
        <v>883</v>
      </c>
      <c r="T23" s="701" t="s">
        <v>884</v>
      </c>
      <c r="U23" s="702"/>
      <c r="V23" s="725" t="s">
        <v>926</v>
      </c>
      <c r="W23" s="749" t="s">
        <v>927</v>
      </c>
      <c r="X23" s="233"/>
      <c r="Y23" s="233"/>
      <c r="Z23" s="233"/>
      <c r="AA23" s="233"/>
      <c r="AB23" s="233"/>
    </row>
    <row r="24" spans="1:28" ht="15.5">
      <c r="A24" s="599" t="s">
        <v>383</v>
      </c>
      <c r="C24" s="636">
        <f>ROUND((C14*C15)*(G8),4)</f>
        <v>6.3179999999999996</v>
      </c>
      <c r="E24" s="638" t="s">
        <v>808</v>
      </c>
      <c r="F24" s="639">
        <f>SUM(F22-F25)</f>
        <v>1.4200000000000017</v>
      </c>
      <c r="G24" s="251"/>
      <c r="I24" s="624"/>
      <c r="O24" s="1002"/>
      <c r="P24" s="1004"/>
      <c r="Q24" s="696" t="s">
        <v>749</v>
      </c>
      <c r="R24" s="233"/>
      <c r="S24" s="704" t="s">
        <v>51</v>
      </c>
      <c r="T24" s="701" t="s">
        <v>885</v>
      </c>
      <c r="U24" s="702"/>
      <c r="V24" s="725" t="s">
        <v>928</v>
      </c>
      <c r="W24" s="749" t="s">
        <v>929</v>
      </c>
      <c r="X24" s="233"/>
      <c r="Y24" s="233"/>
      <c r="Z24" s="233"/>
      <c r="AA24" s="233"/>
      <c r="AB24" s="233"/>
    </row>
    <row r="25" spans="1:28" ht="15.5">
      <c r="A25" s="599" t="s">
        <v>384</v>
      </c>
      <c r="B25" s="193"/>
      <c r="C25" s="640">
        <f>C13</f>
        <v>0</v>
      </c>
      <c r="E25" s="638" t="s">
        <v>809</v>
      </c>
      <c r="F25" s="639">
        <f>ROUND(F22*0.9,2)</f>
        <v>12.78</v>
      </c>
      <c r="G25" s="255"/>
      <c r="O25" s="1002"/>
      <c r="P25" s="700"/>
      <c r="Q25" s="696" t="s">
        <v>752</v>
      </c>
      <c r="R25" s="700"/>
      <c r="S25" s="703" t="s">
        <v>886</v>
      </c>
      <c r="T25" s="701" t="s">
        <v>887</v>
      </c>
      <c r="U25" s="702"/>
      <c r="V25" s="725" t="s">
        <v>930</v>
      </c>
      <c r="W25" s="749" t="s">
        <v>931</v>
      </c>
      <c r="X25" s="233"/>
      <c r="Y25" s="233"/>
      <c r="Z25" s="233"/>
      <c r="AA25" s="233"/>
      <c r="AB25" s="233"/>
    </row>
    <row r="26" spans="1:28" ht="15.5">
      <c r="A26" s="599" t="s">
        <v>386</v>
      </c>
      <c r="C26" s="641">
        <f>ROUND((+C22+C23+C24+C25),4)</f>
        <v>87.030500000000004</v>
      </c>
      <c r="E26" s="642" t="s">
        <v>393</v>
      </c>
      <c r="F26" s="643">
        <f>ROUND(F25*G15,2)</f>
        <v>1.66</v>
      </c>
      <c r="G26" s="255"/>
      <c r="I26" s="624"/>
      <c r="O26" s="1002"/>
      <c r="P26" s="1004"/>
      <c r="Q26" s="696" t="s">
        <v>753</v>
      </c>
      <c r="R26" s="1004"/>
      <c r="S26" s="697" t="s">
        <v>34</v>
      </c>
      <c r="T26" s="701" t="s">
        <v>888</v>
      </c>
      <c r="U26" s="702"/>
      <c r="V26" s="725" t="s">
        <v>932</v>
      </c>
      <c r="W26" s="750" t="s">
        <v>933</v>
      </c>
      <c r="X26" s="233"/>
      <c r="Y26" s="233"/>
      <c r="Z26" s="233"/>
      <c r="AA26" s="233"/>
      <c r="AB26" s="233"/>
    </row>
    <row r="27" spans="1:28" ht="15.5">
      <c r="A27" s="599" t="s">
        <v>388</v>
      </c>
      <c r="C27" s="636">
        <f>ROUND((+C26*G13),4)</f>
        <v>62.226799999999997</v>
      </c>
      <c r="E27" s="635" t="s">
        <v>394</v>
      </c>
      <c r="F27" s="643">
        <f>C49</f>
        <v>0.2</v>
      </c>
      <c r="G27" s="255"/>
      <c r="O27" s="1002"/>
      <c r="P27" s="1004"/>
      <c r="Q27" s="696" t="s">
        <v>54</v>
      </c>
      <c r="R27" s="1004"/>
      <c r="S27" s="697" t="s">
        <v>889</v>
      </c>
      <c r="T27" s="701" t="s">
        <v>890</v>
      </c>
      <c r="U27" s="702"/>
      <c r="V27" s="725" t="s">
        <v>934</v>
      </c>
      <c r="W27" s="750" t="s">
        <v>935</v>
      </c>
      <c r="X27" s="233"/>
      <c r="Y27" s="233"/>
      <c r="Z27" s="233"/>
      <c r="AA27" s="233"/>
      <c r="AB27" s="233"/>
    </row>
    <row r="28" spans="1:28" ht="16" thickBot="1">
      <c r="A28" s="599" t="s">
        <v>390</v>
      </c>
      <c r="C28" s="640">
        <f>(+C15*C14)*G11</f>
        <v>14.580000000000002</v>
      </c>
      <c r="E28" s="644" t="s">
        <v>396</v>
      </c>
      <c r="F28" s="645">
        <f>SUM(F25:F27)</f>
        <v>14.639999999999999</v>
      </c>
      <c r="G28" s="248"/>
      <c r="J28" s="233"/>
      <c r="O28" s="1002"/>
      <c r="P28" s="700"/>
      <c r="Q28" s="696" t="s">
        <v>750</v>
      </c>
      <c r="R28" s="700"/>
      <c r="S28" s="697" t="s">
        <v>891</v>
      </c>
      <c r="T28" s="701" t="s">
        <v>892</v>
      </c>
      <c r="U28" s="702"/>
      <c r="V28" s="725" t="s">
        <v>936</v>
      </c>
      <c r="W28" s="749" t="s">
        <v>937</v>
      </c>
      <c r="X28" s="233"/>
      <c r="Y28" s="233"/>
      <c r="Z28" s="233"/>
      <c r="AA28" s="233"/>
      <c r="AB28" s="233"/>
    </row>
    <row r="29" spans="1:28" ht="15.5">
      <c r="A29" s="599" t="s">
        <v>392</v>
      </c>
      <c r="C29" s="641">
        <f>SUM(C26:C28)</f>
        <v>163.8373</v>
      </c>
      <c r="G29" s="248"/>
      <c r="K29" s="193"/>
      <c r="O29" s="1002"/>
      <c r="P29" s="700"/>
      <c r="Q29" s="696" t="s">
        <v>893</v>
      </c>
      <c r="R29" s="700"/>
      <c r="S29" s="697" t="s">
        <v>894</v>
      </c>
      <c r="T29" s="701" t="s">
        <v>895</v>
      </c>
      <c r="U29" s="702"/>
      <c r="V29" s="688" t="s">
        <v>938</v>
      </c>
      <c r="W29" s="751" t="s">
        <v>939</v>
      </c>
      <c r="X29" s="233"/>
      <c r="Y29" s="233"/>
      <c r="Z29" s="233"/>
      <c r="AA29" s="233"/>
      <c r="AB29" s="233"/>
    </row>
    <row r="30" spans="1:28" ht="15.5">
      <c r="A30" s="635"/>
      <c r="C30" s="636"/>
      <c r="O30" s="1002"/>
      <c r="P30" s="700"/>
      <c r="Q30" s="696" t="s">
        <v>754</v>
      </c>
      <c r="R30" s="700"/>
      <c r="S30" s="703" t="s">
        <v>896</v>
      </c>
      <c r="T30" s="701" t="s">
        <v>897</v>
      </c>
      <c r="U30" s="702"/>
      <c r="V30" s="688" t="s">
        <v>940</v>
      </c>
      <c r="W30" s="752" t="s">
        <v>940</v>
      </c>
      <c r="X30" s="233"/>
      <c r="Y30" s="233"/>
      <c r="Z30" s="233"/>
      <c r="AA30" s="233"/>
      <c r="AB30" s="233"/>
    </row>
    <row r="31" spans="1:28" ht="15.5">
      <c r="A31" s="599" t="s">
        <v>395</v>
      </c>
      <c r="C31" s="641">
        <f>ROUND((+C29/C15),4)</f>
        <v>13.6531</v>
      </c>
      <c r="E31" s="624"/>
      <c r="G31" s="646"/>
      <c r="K31" s="193"/>
      <c r="O31" s="1002"/>
      <c r="P31" s="700"/>
      <c r="Q31" s="696" t="s">
        <v>755</v>
      </c>
      <c r="R31" s="700"/>
      <c r="S31" s="697" t="s">
        <v>898</v>
      </c>
      <c r="T31" s="701" t="s">
        <v>899</v>
      </c>
      <c r="U31" s="702"/>
      <c r="V31" s="688" t="s">
        <v>941</v>
      </c>
      <c r="W31" s="752" t="s">
        <v>942</v>
      </c>
      <c r="X31" s="233"/>
      <c r="Y31" s="233"/>
      <c r="Z31" s="233"/>
      <c r="AA31" s="233"/>
      <c r="AB31" s="233"/>
    </row>
    <row r="32" spans="1:28" ht="15.5">
      <c r="A32" s="599" t="s">
        <v>397</v>
      </c>
      <c r="C32" s="636">
        <f>G12*C14</f>
        <v>0.21749999999999997</v>
      </c>
      <c r="E32" s="624"/>
      <c r="G32" s="646"/>
      <c r="K32" s="193"/>
      <c r="O32" s="1002"/>
      <c r="P32" s="1004"/>
      <c r="Q32" s="696" t="s">
        <v>758</v>
      </c>
      <c r="R32" s="1004"/>
      <c r="S32" s="697" t="s">
        <v>900</v>
      </c>
      <c r="T32" s="696" t="s">
        <v>901</v>
      </c>
      <c r="U32" s="697"/>
      <c r="V32" s="688" t="s">
        <v>943</v>
      </c>
      <c r="W32" s="752" t="s">
        <v>944</v>
      </c>
      <c r="X32" s="233"/>
      <c r="Y32" s="233"/>
      <c r="Z32" s="233"/>
      <c r="AA32" s="233"/>
      <c r="AB32" s="233"/>
    </row>
    <row r="33" spans="1:28" ht="15.5">
      <c r="A33" s="599" t="s">
        <v>398</v>
      </c>
      <c r="C33" s="636">
        <f>ROUND(C14*G10,4)</f>
        <v>0.22189999999999999</v>
      </c>
      <c r="K33" s="193"/>
      <c r="O33" s="1002"/>
      <c r="P33" s="1004"/>
      <c r="Q33" s="696" t="s">
        <v>756</v>
      </c>
      <c r="R33" s="1004"/>
      <c r="S33" s="697" t="s">
        <v>902</v>
      </c>
      <c r="T33" s="701" t="s">
        <v>903</v>
      </c>
      <c r="U33" s="702"/>
      <c r="V33" s="994" t="s">
        <v>945</v>
      </c>
      <c r="W33" s="994"/>
      <c r="X33" s="233"/>
      <c r="Y33" s="233"/>
      <c r="Z33" s="233"/>
      <c r="AA33" s="233"/>
      <c r="AB33" s="233"/>
    </row>
    <row r="34" spans="1:28" ht="15.5">
      <c r="A34" s="599" t="s">
        <v>399</v>
      </c>
      <c r="C34" s="647">
        <f>C16*G14</f>
        <v>8.9300000000000004E-2</v>
      </c>
      <c r="K34" s="193"/>
      <c r="O34" s="1002"/>
      <c r="P34" s="700"/>
      <c r="Q34" s="696" t="s">
        <v>757</v>
      </c>
      <c r="R34" s="700"/>
      <c r="S34" s="697" t="s">
        <v>904</v>
      </c>
      <c r="T34" s="701" t="s">
        <v>905</v>
      </c>
      <c r="U34" s="702"/>
      <c r="V34" s="233"/>
      <c r="W34" s="233"/>
      <c r="X34" s="233"/>
      <c r="Y34" s="233"/>
      <c r="Z34" s="233"/>
      <c r="AA34" s="233"/>
      <c r="AB34" s="233"/>
    </row>
    <row r="35" spans="1:28" ht="15.5">
      <c r="A35" s="599" t="s">
        <v>402</v>
      </c>
      <c r="C35" s="641">
        <f>C31+C32+C33+C34</f>
        <v>14.181799999999999</v>
      </c>
      <c r="E35" s="624"/>
      <c r="O35" s="1002"/>
      <c r="P35" s="700"/>
      <c r="Q35" s="696" t="s">
        <v>759</v>
      </c>
      <c r="R35" s="700"/>
      <c r="S35" s="697" t="s">
        <v>906</v>
      </c>
      <c r="T35" s="701" t="s">
        <v>907</v>
      </c>
      <c r="U35" s="702"/>
      <c r="V35" s="233"/>
      <c r="W35" s="233"/>
      <c r="X35" s="233"/>
      <c r="Y35" s="233"/>
      <c r="Z35" s="233"/>
      <c r="AA35" s="233"/>
      <c r="AB35" s="233"/>
    </row>
    <row r="36" spans="1:28" ht="15.5">
      <c r="A36" s="599" t="s">
        <v>404</v>
      </c>
      <c r="C36" s="640">
        <f>ROUND(+C35*G15,4)</f>
        <v>1.8435999999999999</v>
      </c>
      <c r="K36" s="193"/>
      <c r="O36" s="1002"/>
      <c r="P36" s="700"/>
      <c r="Q36" s="696" t="s">
        <v>56</v>
      </c>
      <c r="R36" s="700"/>
      <c r="S36" s="697" t="s">
        <v>246</v>
      </c>
      <c r="T36" s="701" t="s">
        <v>60</v>
      </c>
      <c r="U36" s="702"/>
      <c r="V36" s="233"/>
      <c r="W36" s="233"/>
      <c r="X36" s="233"/>
      <c r="Y36" s="233"/>
      <c r="Z36" s="233"/>
      <c r="AA36" s="233"/>
      <c r="AB36" s="233"/>
    </row>
    <row r="37" spans="1:28" ht="15.5">
      <c r="A37" s="599" t="s">
        <v>405</v>
      </c>
      <c r="C37" s="641">
        <f>SUM(C35:C36)</f>
        <v>16.025399999999998</v>
      </c>
      <c r="G37" s="241"/>
      <c r="J37" s="193"/>
      <c r="K37" s="193"/>
      <c r="O37" s="1002"/>
      <c r="P37" s="700"/>
      <c r="Q37" s="696" t="s">
        <v>57</v>
      </c>
      <c r="R37" s="700"/>
      <c r="S37" s="697" t="s">
        <v>908</v>
      </c>
      <c r="T37" s="701" t="s">
        <v>909</v>
      </c>
      <c r="U37" s="702"/>
      <c r="V37" s="233"/>
      <c r="W37" s="233"/>
      <c r="X37" s="233"/>
      <c r="Y37" s="233"/>
      <c r="Z37" s="233"/>
      <c r="AA37" s="233"/>
      <c r="AB37" s="233"/>
    </row>
    <row r="38" spans="1:28" ht="15.5">
      <c r="A38" s="635"/>
      <c r="C38" s="648"/>
      <c r="G38" s="236"/>
      <c r="J38" s="267"/>
      <c r="O38" s="1002"/>
      <c r="P38" s="700"/>
      <c r="Q38" s="705" t="s">
        <v>910</v>
      </c>
      <c r="R38" s="700"/>
      <c r="S38" s="697" t="s">
        <v>911</v>
      </c>
      <c r="T38" s="701" t="s">
        <v>912</v>
      </c>
      <c r="U38" s="702"/>
      <c r="V38" s="233"/>
      <c r="W38" s="233"/>
      <c r="X38" s="233"/>
      <c r="Y38" s="233"/>
      <c r="Z38" s="233"/>
      <c r="AA38" s="233"/>
      <c r="AB38" s="233"/>
    </row>
    <row r="39" spans="1:28" ht="15.5">
      <c r="A39" s="635"/>
      <c r="C39" s="648"/>
      <c r="G39" s="236"/>
      <c r="K39" s="193"/>
      <c r="O39" s="1002"/>
      <c r="P39" s="700"/>
      <c r="Q39" s="696" t="s">
        <v>762</v>
      </c>
      <c r="R39" s="700"/>
      <c r="S39" s="697" t="s">
        <v>913</v>
      </c>
      <c r="T39" s="701" t="s">
        <v>914</v>
      </c>
      <c r="U39" s="702"/>
      <c r="V39" s="233"/>
      <c r="W39" s="233"/>
      <c r="X39" s="233"/>
      <c r="Y39" s="233"/>
      <c r="Z39" s="233"/>
      <c r="AA39" s="233"/>
      <c r="AB39" s="233"/>
    </row>
    <row r="40" spans="1:28" ht="15.5">
      <c r="A40" s="599" t="s">
        <v>406</v>
      </c>
      <c r="C40" s="648">
        <f>C45-C41</f>
        <v>13.8932</v>
      </c>
      <c r="G40" s="241"/>
      <c r="J40" s="193"/>
      <c r="O40" s="1002"/>
      <c r="P40" s="700"/>
      <c r="Q40" s="696" t="s">
        <v>761</v>
      </c>
      <c r="R40" s="700"/>
      <c r="S40" s="697" t="s">
        <v>915</v>
      </c>
      <c r="T40" s="701" t="s">
        <v>916</v>
      </c>
      <c r="U40" s="702"/>
      <c r="V40" s="233"/>
      <c r="W40" s="233"/>
      <c r="X40" s="233"/>
      <c r="Y40" s="233"/>
      <c r="Z40" s="233"/>
      <c r="AA40" s="233"/>
      <c r="AB40" s="233"/>
    </row>
    <row r="41" spans="1:28" ht="15.5">
      <c r="A41" s="599" t="s">
        <v>407</v>
      </c>
      <c r="C41" s="647">
        <f>ROUND(+C32+C34,4)</f>
        <v>0.30680000000000002</v>
      </c>
      <c r="O41" s="1002"/>
      <c r="P41" s="1004"/>
      <c r="Q41" s="696" t="s">
        <v>751</v>
      </c>
      <c r="R41" s="1004"/>
      <c r="S41" s="697" t="s">
        <v>917</v>
      </c>
      <c r="T41" s="701" t="s">
        <v>918</v>
      </c>
      <c r="U41" s="702"/>
      <c r="V41" s="233"/>
      <c r="W41" s="233"/>
      <c r="X41" s="233"/>
      <c r="Y41" s="233"/>
      <c r="Z41" s="233"/>
      <c r="AA41" s="233"/>
      <c r="AB41" s="233"/>
    </row>
    <row r="42" spans="1:28" ht="15.5">
      <c r="A42" s="635"/>
      <c r="C42" s="636">
        <f>ROUND(+C40+C41,4)</f>
        <v>14.2</v>
      </c>
      <c r="O42" s="1002"/>
      <c r="P42" s="1004"/>
      <c r="Q42" s="696" t="s">
        <v>69</v>
      </c>
      <c r="R42" s="1004"/>
      <c r="S42" s="697" t="s">
        <v>919</v>
      </c>
      <c r="T42" s="701" t="s">
        <v>920</v>
      </c>
      <c r="U42" s="702"/>
      <c r="V42" s="233"/>
      <c r="W42" s="233"/>
      <c r="X42" s="233"/>
      <c r="Y42" s="233"/>
      <c r="Z42" s="233"/>
      <c r="AA42" s="233"/>
      <c r="AB42" s="233"/>
    </row>
    <row r="43" spans="1:28" ht="16" thickBot="1">
      <c r="A43" s="635"/>
      <c r="C43" s="636"/>
      <c r="O43" s="1003"/>
      <c r="P43" s="706"/>
      <c r="Q43" s="707" t="s">
        <v>921</v>
      </c>
      <c r="R43" s="708"/>
      <c r="S43" s="709"/>
      <c r="T43" s="710"/>
      <c r="U43" s="233"/>
      <c r="V43" s="233"/>
      <c r="W43" s="233"/>
      <c r="X43" s="233"/>
      <c r="Y43" s="233"/>
      <c r="Z43" s="233"/>
      <c r="AA43" s="233"/>
      <c r="AB43" s="233"/>
    </row>
    <row r="44" spans="1:28" ht="15.5">
      <c r="A44" s="649" t="s">
        <v>408</v>
      </c>
      <c r="C44" s="636"/>
      <c r="F44" s="236"/>
      <c r="K44" s="193"/>
      <c r="O44" s="997" t="s">
        <v>922</v>
      </c>
      <c r="P44" s="997"/>
      <c r="Q44" s="997"/>
      <c r="R44" s="997"/>
      <c r="S44" s="997"/>
      <c r="T44" s="997"/>
      <c r="U44" s="711"/>
      <c r="V44" s="233"/>
      <c r="W44" s="233"/>
      <c r="X44" s="233"/>
      <c r="Y44" s="233"/>
      <c r="Z44" s="233"/>
      <c r="AA44" s="233"/>
      <c r="AB44" s="233"/>
    </row>
    <row r="45" spans="1:28" ht="15.5">
      <c r="A45" s="650" t="s">
        <v>406</v>
      </c>
      <c r="C45" s="651">
        <f>C47-C46</f>
        <v>14.200000000000001</v>
      </c>
      <c r="K45" s="269"/>
      <c r="O45" s="998" t="s">
        <v>923</v>
      </c>
      <c r="P45" s="998"/>
      <c r="Q45" s="998"/>
      <c r="R45" s="998"/>
      <c r="S45" s="998"/>
      <c r="T45" s="998"/>
      <c r="U45" s="233"/>
      <c r="V45" s="233"/>
      <c r="W45" s="233"/>
      <c r="X45" s="233"/>
      <c r="Y45" s="233"/>
      <c r="Z45" s="233"/>
      <c r="AA45" s="233"/>
      <c r="AB45" s="233"/>
    </row>
    <row r="46" spans="1:28">
      <c r="A46" s="650" t="s">
        <v>404</v>
      </c>
      <c r="C46" s="652">
        <f>ROUND((C47/113)*G15*100,2)</f>
        <v>1.85</v>
      </c>
      <c r="O46" s="298"/>
      <c r="P46" s="298"/>
      <c r="Q46" s="298"/>
      <c r="R46" s="298"/>
      <c r="S46" s="298"/>
      <c r="T46" s="298"/>
      <c r="U46" s="298"/>
      <c r="V46" s="298"/>
      <c r="W46" s="298"/>
      <c r="X46" s="298"/>
      <c r="Y46" s="298"/>
      <c r="Z46" s="298"/>
      <c r="AA46" s="298"/>
      <c r="AB46" s="298"/>
    </row>
    <row r="47" spans="1:28" ht="15.5">
      <c r="A47" s="650" t="s">
        <v>410</v>
      </c>
      <c r="C47" s="653">
        <f>IF('14 LCBO'!C58&lt;G13,'14 LCBO'!E66+0.05,'14 LCBO'!E66)</f>
        <v>16.05</v>
      </c>
      <c r="S47" s="298"/>
      <c r="T47" s="298"/>
      <c r="U47" s="298"/>
      <c r="V47" s="233"/>
      <c r="W47" s="298"/>
      <c r="X47" s="298"/>
      <c r="Y47" s="298"/>
      <c r="Z47" s="298"/>
      <c r="AA47" s="298"/>
      <c r="AB47" s="298"/>
    </row>
    <row r="48" spans="1:28">
      <c r="A48" s="635"/>
      <c r="C48" s="648"/>
      <c r="S48" s="298"/>
      <c r="T48" s="298"/>
      <c r="U48" s="298"/>
      <c r="V48" s="192"/>
      <c r="W48" s="693"/>
      <c r="X48" s="298"/>
      <c r="Y48" s="298"/>
      <c r="Z48" s="298"/>
      <c r="AA48" s="298"/>
      <c r="AB48" s="298"/>
    </row>
    <row r="49" spans="1:28">
      <c r="A49" s="599" t="s">
        <v>394</v>
      </c>
      <c r="C49" s="654">
        <f>C16*G16</f>
        <v>0.2</v>
      </c>
      <c r="F49" s="193"/>
      <c r="S49" s="298"/>
      <c r="T49" s="298"/>
      <c r="U49" s="298"/>
      <c r="V49" s="192"/>
      <c r="W49" s="693"/>
      <c r="X49" s="298"/>
      <c r="Y49" s="298"/>
      <c r="Z49" s="298"/>
      <c r="AA49" s="298"/>
      <c r="AB49" s="298"/>
    </row>
    <row r="50" spans="1:28" ht="15" thickBot="1">
      <c r="A50" s="635"/>
      <c r="C50" s="648"/>
      <c r="S50" s="298"/>
      <c r="T50" s="298"/>
      <c r="U50" s="298"/>
      <c r="V50" s="192"/>
      <c r="W50" s="693"/>
      <c r="X50" s="298"/>
      <c r="Y50" s="298"/>
      <c r="Z50" s="298"/>
      <c r="AA50" s="298"/>
      <c r="AB50" s="298"/>
    </row>
    <row r="51" spans="1:28" ht="16" thickBot="1">
      <c r="A51" s="655" t="s">
        <v>810</v>
      </c>
      <c r="B51" s="656"/>
      <c r="C51" s="657">
        <f>SUM(C47+C49)</f>
        <v>16.25</v>
      </c>
      <c r="S51" s="298"/>
      <c r="T51" s="298"/>
      <c r="U51" s="298"/>
      <c r="V51" s="192"/>
      <c r="W51" s="693"/>
      <c r="X51" s="298"/>
      <c r="Y51" s="298"/>
      <c r="Z51" s="298"/>
      <c r="AA51" s="298"/>
      <c r="AB51" s="298"/>
    </row>
    <row r="52" spans="1:28">
      <c r="S52" s="298"/>
      <c r="T52" s="298"/>
      <c r="U52" s="298"/>
      <c r="V52" s="192"/>
      <c r="W52" s="693"/>
      <c r="X52" s="298"/>
      <c r="Y52" s="298"/>
      <c r="Z52" s="298"/>
      <c r="AA52" s="298"/>
      <c r="AB52" s="298"/>
    </row>
    <row r="53" spans="1:28" hidden="1">
      <c r="A53" s="194" t="s">
        <v>412</v>
      </c>
      <c r="C53" s="277">
        <f>ROUND(((+C40*C15-C28)/C26-1),4)</f>
        <v>0.74809999999999999</v>
      </c>
      <c r="S53" s="298"/>
      <c r="T53" s="298"/>
      <c r="U53" s="298"/>
      <c r="V53" s="192"/>
      <c r="W53" s="693"/>
      <c r="X53" s="298"/>
      <c r="Y53" s="298"/>
      <c r="Z53" s="298"/>
      <c r="AA53" s="298"/>
      <c r="AB53" s="298"/>
    </row>
    <row r="54" spans="1:28" ht="15.5" hidden="1">
      <c r="A54" s="194" t="s">
        <v>413</v>
      </c>
      <c r="C54" s="278">
        <f>ROUND(+C45-(C26/C15),2)</f>
        <v>6.95</v>
      </c>
      <c r="F54" s="191"/>
      <c r="S54" s="298"/>
      <c r="T54" s="298"/>
      <c r="U54" s="298"/>
      <c r="V54" s="233"/>
      <c r="W54" s="298"/>
      <c r="X54" s="298"/>
      <c r="Y54" s="298"/>
      <c r="Z54" s="298"/>
      <c r="AA54" s="298"/>
      <c r="AB54" s="298"/>
    </row>
    <row r="55" spans="1:28" ht="15.5" hidden="1">
      <c r="A55" s="194" t="s">
        <v>414</v>
      </c>
      <c r="C55" s="279">
        <f>ROUND(+C54/C35,3)</f>
        <v>0.49</v>
      </c>
      <c r="S55" s="298"/>
      <c r="T55" s="233"/>
      <c r="U55" s="298"/>
      <c r="V55" s="298"/>
      <c r="W55" s="298"/>
      <c r="X55" s="298"/>
      <c r="Y55" s="298"/>
      <c r="Z55" s="298"/>
      <c r="AA55" s="298"/>
      <c r="AB55" s="298"/>
    </row>
    <row r="56" spans="1:28" ht="15.5" hidden="1">
      <c r="S56" s="723"/>
      <c r="T56" s="298"/>
      <c r="U56" s="233"/>
      <c r="V56" s="298"/>
      <c r="W56" s="298"/>
      <c r="X56" s="298"/>
      <c r="Y56" s="298"/>
      <c r="Z56" s="298"/>
      <c r="AA56" s="298"/>
      <c r="AB56" s="298"/>
    </row>
    <row r="57" spans="1:28" ht="15.5" hidden="1">
      <c r="S57" s="298"/>
      <c r="T57" s="298"/>
      <c r="U57" s="233"/>
      <c r="V57" s="298"/>
      <c r="W57" s="298"/>
      <c r="X57" s="298"/>
      <c r="Y57" s="298"/>
      <c r="Z57" s="298"/>
      <c r="AA57" s="298"/>
      <c r="AB57" s="298"/>
    </row>
    <row r="58" spans="1:28" ht="15.5" hidden="1">
      <c r="A58" s="281" t="s">
        <v>415</v>
      </c>
      <c r="B58" s="282"/>
      <c r="C58" s="283">
        <f>ROUND((((E64-C34-C32-C33)*C15-C28)/C26-1),4)</f>
        <v>0.71750000000000003</v>
      </c>
      <c r="S58" s="233"/>
      <c r="T58" s="298"/>
      <c r="U58" s="298"/>
      <c r="V58" s="298"/>
      <c r="W58" s="298"/>
      <c r="X58" s="298"/>
      <c r="Y58" s="298"/>
      <c r="Z58" s="298"/>
      <c r="AA58" s="298"/>
      <c r="AB58" s="298"/>
    </row>
    <row r="59" spans="1:28" ht="15.5" hidden="1">
      <c r="A59" s="284"/>
      <c r="S59" s="233"/>
      <c r="T59" s="298"/>
      <c r="U59" s="298"/>
      <c r="V59" s="298"/>
      <c r="W59" s="298"/>
      <c r="X59" s="298"/>
      <c r="Y59" s="298"/>
      <c r="Z59" s="298"/>
      <c r="AA59" s="298"/>
      <c r="AB59" s="298"/>
    </row>
    <row r="60" spans="1:28" ht="15.5" hidden="1">
      <c r="S60" s="233"/>
      <c r="T60" s="298"/>
      <c r="U60" s="298"/>
      <c r="V60" s="298"/>
      <c r="W60" s="298"/>
      <c r="X60" s="298"/>
      <c r="Y60" s="298"/>
      <c r="Z60" s="298"/>
      <c r="AA60" s="298"/>
      <c r="AB60" s="298"/>
    </row>
    <row r="61" spans="1:28" ht="15.5" hidden="1">
      <c r="A61" s="302"/>
      <c r="B61" s="285"/>
      <c r="C61" s="189"/>
      <c r="D61" s="192"/>
      <c r="E61" s="190"/>
      <c r="F61" s="280">
        <f>ROUND(+C45-(C26/C15),2)</f>
        <v>6.95</v>
      </c>
      <c r="S61" s="233"/>
      <c r="T61" s="298"/>
      <c r="U61" s="298"/>
      <c r="V61" s="298"/>
      <c r="W61" s="298"/>
      <c r="X61" s="298"/>
      <c r="Y61" s="298"/>
      <c r="Z61" s="298"/>
      <c r="AA61" s="298"/>
      <c r="AB61" s="298"/>
    </row>
    <row r="62" spans="1:28" ht="15.5" hidden="1">
      <c r="A62" s="286" t="s">
        <v>377</v>
      </c>
      <c r="C62" s="189"/>
      <c r="E62" s="190"/>
      <c r="S62" s="233"/>
      <c r="T62" s="298"/>
      <c r="U62" s="298"/>
      <c r="V62" s="298"/>
      <c r="W62" s="298"/>
      <c r="X62" s="298"/>
      <c r="Y62" s="298"/>
      <c r="Z62" s="298"/>
      <c r="AA62" s="298"/>
      <c r="AB62" s="298"/>
    </row>
    <row r="63" spans="1:28" ht="15.5" hidden="1">
      <c r="A63" s="192" t="s">
        <v>401</v>
      </c>
      <c r="C63" s="189"/>
      <c r="E63" s="189"/>
      <c r="M63" s="190"/>
      <c r="S63" s="233"/>
      <c r="T63" s="298"/>
      <c r="U63" s="298"/>
      <c r="V63" s="298"/>
      <c r="W63" s="298"/>
      <c r="X63" s="298"/>
      <c r="Y63" s="298"/>
      <c r="Z63" s="298"/>
      <c r="AA63" s="298"/>
      <c r="AB63" s="298"/>
    </row>
    <row r="64" spans="1:28" ht="15.5" hidden="1">
      <c r="A64" s="287"/>
      <c r="C64" s="189"/>
      <c r="E64" s="288">
        <f>E66-E65</f>
        <v>14.200000000000001</v>
      </c>
      <c r="F64" s="189" t="s">
        <v>416</v>
      </c>
      <c r="M64" s="190"/>
      <c r="S64" s="233"/>
      <c r="T64" s="298"/>
      <c r="U64" s="298"/>
      <c r="V64" s="298"/>
      <c r="W64" s="298"/>
      <c r="X64" s="298"/>
      <c r="Y64" s="298"/>
      <c r="Z64" s="298"/>
      <c r="AA64" s="298"/>
      <c r="AB64" s="298"/>
    </row>
    <row r="65" spans="1:28" ht="15.5" hidden="1">
      <c r="C65" s="189"/>
      <c r="E65" s="658">
        <f>ROUND(E66*'14 LCBO'!G15/(1+'14 LCBO'!G15),2)</f>
        <v>1.85</v>
      </c>
      <c r="F65" s="189" t="s">
        <v>417</v>
      </c>
      <c r="M65" s="190"/>
      <c r="S65" s="298"/>
      <c r="T65" s="233"/>
      <c r="U65" s="298"/>
      <c r="V65" s="298"/>
      <c r="W65" s="298"/>
      <c r="X65" s="298"/>
      <c r="Y65" s="298"/>
      <c r="Z65" s="298"/>
      <c r="AA65" s="298"/>
      <c r="AB65" s="298"/>
    </row>
    <row r="66" spans="1:28" ht="15.5" hidden="1">
      <c r="A66" s="236"/>
      <c r="C66" s="189"/>
      <c r="E66" s="290">
        <f>IF(MOD('14 LCBO'!C37*1000,50)&gt;24.99,CEILING('14 LCBO'!C37,0.05),FLOOR('14 LCBO'!C37,0.05))</f>
        <v>16.05</v>
      </c>
      <c r="F66" s="189" t="s">
        <v>418</v>
      </c>
      <c r="M66" s="190"/>
      <c r="S66" s="298"/>
      <c r="T66" s="233"/>
      <c r="U66" s="298"/>
      <c r="V66" s="298"/>
      <c r="W66" s="298"/>
      <c r="X66" s="298"/>
      <c r="Y66" s="298"/>
      <c r="Z66" s="298"/>
      <c r="AA66" s="298"/>
      <c r="AB66" s="298"/>
    </row>
    <row r="67" spans="1:28" ht="15.5" hidden="1">
      <c r="A67" s="287"/>
      <c r="C67" s="189"/>
      <c r="E67" s="189"/>
      <c r="M67" s="190"/>
      <c r="O67" s="298"/>
      <c r="P67" s="298"/>
      <c r="Q67" s="298"/>
      <c r="R67" s="298"/>
      <c r="S67" s="298"/>
      <c r="T67" s="298"/>
      <c r="U67" s="298"/>
      <c r="V67" s="233"/>
      <c r="W67" s="298"/>
      <c r="X67" s="298"/>
      <c r="Y67" s="298"/>
      <c r="Z67" s="298"/>
      <c r="AA67" s="298"/>
      <c r="AB67" s="298"/>
    </row>
    <row r="68" spans="1:28" ht="15.5" hidden="1">
      <c r="C68" s="189"/>
      <c r="E68" s="291"/>
      <c r="O68" s="298"/>
      <c r="P68" s="298"/>
      <c r="Q68" s="298"/>
      <c r="R68" s="298"/>
      <c r="S68" s="298"/>
      <c r="T68" s="298"/>
      <c r="U68" s="298"/>
      <c r="V68" s="233"/>
      <c r="W68" s="298"/>
      <c r="X68" s="298"/>
      <c r="Y68" s="298"/>
      <c r="Z68" s="298"/>
      <c r="AA68" s="298"/>
      <c r="AB68" s="298"/>
    </row>
    <row r="69" spans="1:28" ht="15.5" hidden="1">
      <c r="A69" s="292" t="s">
        <v>800</v>
      </c>
      <c r="C69" s="189"/>
      <c r="E69" s="291">
        <f>ROUND((((C35-C34-C32-C33)*C15-C28)/C26-1),4)</f>
        <v>0.71499999999999997</v>
      </c>
      <c r="O69" s="298"/>
      <c r="P69" s="298"/>
      <c r="Q69" s="298"/>
      <c r="R69" s="298"/>
      <c r="S69" s="298"/>
      <c r="T69" s="298"/>
      <c r="U69" s="298"/>
      <c r="V69" s="233"/>
      <c r="W69" s="298"/>
      <c r="X69" s="298"/>
      <c r="Y69" s="298"/>
      <c r="Z69" s="298"/>
      <c r="AA69" s="298"/>
      <c r="AB69" s="298"/>
    </row>
    <row r="70" spans="1:28" ht="15.5" hidden="1">
      <c r="A70" s="292" t="s">
        <v>811</v>
      </c>
      <c r="C70" s="189"/>
      <c r="G70" s="189">
        <v>63.25</v>
      </c>
      <c r="O70" s="298"/>
      <c r="P70" s="298"/>
      <c r="Q70" s="298"/>
      <c r="R70" s="298"/>
      <c r="S70" s="298"/>
      <c r="T70" s="298"/>
      <c r="U70" s="298"/>
      <c r="V70" s="233"/>
      <c r="W70" s="298"/>
      <c r="X70" s="298"/>
      <c r="Y70" s="298"/>
      <c r="Z70" s="298"/>
      <c r="AA70" s="298"/>
      <c r="AB70" s="298"/>
    </row>
    <row r="71" spans="1:28" ht="15.5" hidden="1">
      <c r="A71" s="292" t="s">
        <v>420</v>
      </c>
      <c r="C71" s="189"/>
      <c r="O71" s="298"/>
      <c r="P71" s="298"/>
      <c r="Q71" s="298"/>
      <c r="R71" s="298"/>
      <c r="S71" s="298"/>
      <c r="T71" s="298"/>
      <c r="U71" s="298"/>
      <c r="V71" s="233"/>
      <c r="W71" s="298"/>
      <c r="X71" s="298"/>
      <c r="Y71" s="298"/>
      <c r="Z71" s="298"/>
      <c r="AA71" s="298"/>
      <c r="AB71" s="298"/>
    </row>
    <row r="72" spans="1:28" ht="15.5" hidden="1">
      <c r="A72" s="292" t="s">
        <v>812</v>
      </c>
      <c r="C72" s="189"/>
      <c r="O72" s="298"/>
      <c r="P72" s="298"/>
      <c r="Q72" s="298"/>
      <c r="R72" s="298"/>
      <c r="S72" s="298"/>
      <c r="T72" s="298"/>
      <c r="U72" s="298"/>
      <c r="V72" s="233"/>
      <c r="W72" s="298"/>
      <c r="X72" s="298"/>
      <c r="Y72" s="298"/>
      <c r="Z72" s="298"/>
      <c r="AA72" s="298"/>
      <c r="AB72" s="298"/>
    </row>
    <row r="73" spans="1:28" ht="15.5" hidden="1">
      <c r="A73" s="292" t="s">
        <v>421</v>
      </c>
      <c r="C73" s="189"/>
      <c r="O73" s="298"/>
      <c r="P73" s="298"/>
      <c r="Q73" s="298"/>
      <c r="R73" s="298"/>
      <c r="S73" s="298"/>
      <c r="T73" s="298"/>
      <c r="U73" s="298"/>
      <c r="V73" s="233"/>
      <c r="W73" s="298"/>
      <c r="X73" s="298"/>
      <c r="Y73" s="298"/>
      <c r="Z73" s="298"/>
      <c r="AA73" s="298"/>
      <c r="AB73" s="298"/>
    </row>
    <row r="74" spans="1:28" ht="15.5" hidden="1">
      <c r="A74" s="292" t="s">
        <v>813</v>
      </c>
      <c r="C74" s="189"/>
      <c r="O74" s="298"/>
      <c r="P74" s="298"/>
      <c r="Q74" s="298"/>
      <c r="R74" s="298"/>
      <c r="S74" s="298"/>
      <c r="T74" s="298"/>
      <c r="U74" s="298"/>
      <c r="V74" s="233"/>
      <c r="W74" s="298"/>
      <c r="X74" s="298"/>
      <c r="Y74" s="298"/>
      <c r="Z74" s="298"/>
      <c r="AA74" s="298"/>
      <c r="AB74" s="298"/>
    </row>
    <row r="75" spans="1:28" ht="15.5" hidden="1">
      <c r="A75" s="292" t="s">
        <v>814</v>
      </c>
      <c r="C75" s="189"/>
      <c r="O75" s="298"/>
      <c r="P75" s="298"/>
      <c r="Q75" s="298"/>
      <c r="R75" s="298"/>
      <c r="S75" s="298"/>
      <c r="T75" s="298"/>
      <c r="U75" s="298"/>
      <c r="V75" s="233"/>
      <c r="W75" s="298"/>
      <c r="X75" s="298"/>
      <c r="Y75" s="298"/>
      <c r="Z75" s="298"/>
      <c r="AA75" s="298"/>
      <c r="AB75" s="298"/>
    </row>
    <row r="76" spans="1:28" ht="15.5" hidden="1">
      <c r="A76" s="233"/>
      <c r="C76" s="189"/>
      <c r="O76" s="298"/>
      <c r="P76" s="298"/>
      <c r="Q76" s="298"/>
      <c r="R76" s="298"/>
      <c r="S76" s="298"/>
      <c r="T76" s="298"/>
      <c r="U76" s="298"/>
      <c r="V76" s="233"/>
      <c r="W76" s="298"/>
      <c r="X76" s="298"/>
      <c r="Y76" s="298"/>
      <c r="Z76" s="298"/>
      <c r="AA76" s="298"/>
      <c r="AB76" s="298"/>
    </row>
    <row r="77" spans="1:28" ht="15.5" hidden="1">
      <c r="A77" s="293" t="s">
        <v>379</v>
      </c>
      <c r="C77" s="189"/>
      <c r="O77" s="298"/>
      <c r="P77" s="298"/>
      <c r="Q77" s="298"/>
      <c r="R77" s="298"/>
      <c r="S77" s="298"/>
      <c r="T77" s="298"/>
      <c r="U77" s="298"/>
      <c r="V77" s="233"/>
      <c r="W77" s="298"/>
      <c r="X77" s="298"/>
      <c r="Y77" s="298"/>
      <c r="Z77" s="298"/>
      <c r="AA77" s="298"/>
      <c r="AB77" s="298"/>
    </row>
    <row r="78" spans="1:28" ht="15.5" hidden="1">
      <c r="A78" s="294" t="s">
        <v>815</v>
      </c>
      <c r="C78" s="189"/>
      <c r="O78" s="298"/>
      <c r="P78" s="298"/>
      <c r="Q78" s="298"/>
      <c r="R78" s="298"/>
      <c r="S78" s="298"/>
      <c r="T78" s="298"/>
      <c r="U78" s="298"/>
      <c r="V78" s="233"/>
      <c r="W78" s="298"/>
      <c r="X78" s="298"/>
      <c r="Y78" s="298"/>
      <c r="Z78" s="298"/>
      <c r="AA78" s="298"/>
      <c r="AB78" s="298"/>
    </row>
    <row r="79" spans="1:28" ht="15.5" hidden="1">
      <c r="A79" s="294" t="s">
        <v>423</v>
      </c>
      <c r="C79" s="189"/>
      <c r="O79" s="298"/>
      <c r="P79" s="298"/>
      <c r="Q79" s="298"/>
      <c r="R79" s="298"/>
      <c r="S79" s="298"/>
      <c r="T79" s="298"/>
      <c r="U79" s="298"/>
      <c r="V79" s="233"/>
      <c r="W79" s="298"/>
      <c r="X79" s="298"/>
      <c r="Y79" s="298"/>
      <c r="Z79" s="298"/>
      <c r="AA79" s="298"/>
      <c r="AB79" s="298"/>
    </row>
    <row r="80" spans="1:28" ht="15.5" hidden="1">
      <c r="A80" s="294" t="s">
        <v>805</v>
      </c>
      <c r="C80" s="189"/>
      <c r="O80" s="298"/>
      <c r="P80" s="298"/>
      <c r="Q80" s="298"/>
      <c r="R80" s="298"/>
      <c r="S80" s="298"/>
      <c r="T80" s="298"/>
      <c r="U80" s="298"/>
      <c r="V80" s="233"/>
      <c r="W80" s="298"/>
      <c r="X80" s="298"/>
      <c r="Y80" s="298"/>
      <c r="Z80" s="298"/>
      <c r="AA80" s="298"/>
      <c r="AB80" s="298"/>
    </row>
    <row r="81" spans="1:28" ht="15.5" hidden="1">
      <c r="A81" s="294" t="s">
        <v>61</v>
      </c>
      <c r="C81" s="189"/>
      <c r="O81" s="298"/>
      <c r="P81" s="298"/>
      <c r="Q81" s="298"/>
      <c r="R81" s="298"/>
      <c r="S81" s="298"/>
      <c r="T81" s="298"/>
      <c r="U81" s="298"/>
      <c r="V81" s="233"/>
      <c r="W81" s="298"/>
      <c r="X81" s="298"/>
      <c r="Y81" s="298"/>
      <c r="Z81" s="298"/>
      <c r="AA81" s="298"/>
      <c r="AB81" s="298"/>
    </row>
    <row r="82" spans="1:28" ht="15.5" hidden="1">
      <c r="A82" s="193"/>
      <c r="C82" s="189"/>
      <c r="O82" s="298"/>
      <c r="P82" s="298"/>
      <c r="Q82" s="298"/>
      <c r="R82" s="298"/>
      <c r="S82" s="298"/>
      <c r="T82" s="298"/>
      <c r="U82" s="298"/>
      <c r="V82" s="233"/>
      <c r="W82" s="298"/>
      <c r="X82" s="298"/>
      <c r="Y82" s="298"/>
      <c r="Z82" s="298"/>
      <c r="AA82" s="298"/>
      <c r="AB82" s="298"/>
    </row>
    <row r="83" spans="1:28" ht="15.5" hidden="1">
      <c r="A83" s="933" t="s">
        <v>816</v>
      </c>
      <c r="B83" s="659" t="s">
        <v>800</v>
      </c>
      <c r="C83" s="660"/>
      <c r="O83" s="298"/>
      <c r="P83" s="298"/>
      <c r="Q83" s="298"/>
      <c r="R83" s="298"/>
      <c r="S83" s="298"/>
      <c r="T83" s="298"/>
      <c r="U83" s="298"/>
      <c r="V83" s="233"/>
      <c r="W83" s="298"/>
      <c r="X83" s="298"/>
      <c r="Y83" s="298"/>
      <c r="Z83" s="298"/>
      <c r="AA83" s="298"/>
      <c r="AB83" s="298"/>
    </row>
    <row r="84" spans="1:28" ht="15.5" hidden="1">
      <c r="A84" s="934"/>
      <c r="B84" s="661" t="s">
        <v>817</v>
      </c>
      <c r="C84" s="662"/>
      <c r="O84" s="298"/>
      <c r="P84" s="298"/>
      <c r="Q84" s="298"/>
      <c r="R84" s="298"/>
      <c r="S84" s="298"/>
      <c r="T84" s="298"/>
      <c r="U84" s="298"/>
      <c r="V84" s="233"/>
      <c r="W84" s="298"/>
      <c r="X84" s="298"/>
      <c r="Y84" s="298"/>
      <c r="Z84" s="298"/>
      <c r="AA84" s="298"/>
      <c r="AB84" s="298"/>
    </row>
    <row r="85" spans="1:28" ht="15.5" hidden="1">
      <c r="A85" s="935"/>
      <c r="B85" s="663"/>
      <c r="C85" s="660"/>
      <c r="O85" s="298"/>
      <c r="P85" s="298"/>
      <c r="Q85" s="298"/>
      <c r="R85" s="298"/>
      <c r="S85" s="298"/>
      <c r="T85" s="298"/>
      <c r="U85" s="298"/>
      <c r="V85" s="233"/>
      <c r="W85" s="298"/>
      <c r="X85" s="298"/>
      <c r="Y85" s="298"/>
      <c r="Z85" s="298"/>
      <c r="AA85" s="298"/>
      <c r="AB85" s="298"/>
    </row>
    <row r="86" spans="1:28" ht="15.5" hidden="1">
      <c r="A86" s="292" t="s">
        <v>800</v>
      </c>
      <c r="B86" s="664">
        <v>1.62</v>
      </c>
      <c r="C86" s="665"/>
      <c r="O86" s="298"/>
      <c r="P86" s="298"/>
      <c r="Q86" s="298"/>
      <c r="R86" s="298"/>
      <c r="S86" s="298"/>
      <c r="T86" s="298"/>
      <c r="U86" s="298"/>
      <c r="V86" s="233"/>
      <c r="W86" s="298"/>
      <c r="X86" s="298"/>
      <c r="Y86" s="298"/>
      <c r="Z86" s="298"/>
      <c r="AA86" s="298"/>
      <c r="AB86" s="298"/>
    </row>
    <row r="87" spans="1:28" ht="15.5" hidden="1">
      <c r="A87" s="292" t="s">
        <v>811</v>
      </c>
      <c r="B87" s="664">
        <v>1.62</v>
      </c>
      <c r="C87" s="665"/>
      <c r="O87" s="298"/>
      <c r="P87" s="298"/>
      <c r="Q87" s="298"/>
      <c r="R87" s="298"/>
      <c r="S87" s="298"/>
      <c r="T87" s="298"/>
      <c r="U87" s="298"/>
      <c r="V87" s="233"/>
      <c r="W87" s="298"/>
      <c r="X87" s="298"/>
      <c r="Y87" s="298"/>
      <c r="Z87" s="298"/>
      <c r="AA87" s="298"/>
      <c r="AB87" s="298"/>
    </row>
    <row r="88" spans="1:28" ht="15.5" hidden="1">
      <c r="A88" s="292" t="s">
        <v>420</v>
      </c>
      <c r="B88" s="664">
        <v>1.62</v>
      </c>
      <c r="C88" s="665"/>
      <c r="O88" s="298"/>
      <c r="P88" s="298"/>
      <c r="Q88" s="298"/>
      <c r="R88" s="298"/>
      <c r="S88" s="298"/>
      <c r="T88" s="298"/>
      <c r="U88" s="298"/>
      <c r="V88" s="233"/>
      <c r="W88" s="298"/>
      <c r="X88" s="298"/>
      <c r="Y88" s="298"/>
      <c r="Z88" s="298"/>
      <c r="AA88" s="298"/>
      <c r="AB88" s="298"/>
    </row>
    <row r="89" spans="1:28" ht="15.5" hidden="1">
      <c r="A89" s="292" t="s">
        <v>812</v>
      </c>
      <c r="B89" s="664">
        <v>1.62</v>
      </c>
      <c r="C89" s="665"/>
      <c r="O89" s="298"/>
      <c r="P89" s="298"/>
      <c r="Q89" s="298"/>
      <c r="R89" s="298"/>
      <c r="S89" s="298"/>
      <c r="T89" s="298"/>
      <c r="U89" s="298"/>
      <c r="V89" s="233"/>
      <c r="W89" s="298"/>
      <c r="X89" s="298"/>
      <c r="Y89" s="298"/>
      <c r="Z89" s="298"/>
      <c r="AA89" s="298"/>
      <c r="AB89" s="298"/>
    </row>
    <row r="90" spans="1:28" ht="15.5" hidden="1">
      <c r="A90" s="292" t="s">
        <v>813</v>
      </c>
      <c r="B90" s="664">
        <v>1.62</v>
      </c>
      <c r="C90" s="665"/>
      <c r="O90" s="298"/>
      <c r="P90" s="298"/>
      <c r="Q90" s="298"/>
      <c r="R90" s="298"/>
      <c r="S90" s="298"/>
      <c r="T90" s="298"/>
      <c r="U90" s="298"/>
      <c r="V90" s="233"/>
      <c r="W90" s="298"/>
      <c r="X90" s="298"/>
      <c r="Y90" s="298"/>
      <c r="Z90" s="298"/>
      <c r="AA90" s="298"/>
      <c r="AB90" s="298"/>
    </row>
    <row r="91" spans="1:28" ht="15.5" hidden="1">
      <c r="A91" s="666" t="s">
        <v>814</v>
      </c>
      <c r="B91" s="664">
        <v>1.62</v>
      </c>
      <c r="C91" s="665"/>
      <c r="O91" s="298"/>
      <c r="P91" s="298"/>
      <c r="Q91" s="298"/>
      <c r="R91" s="298"/>
      <c r="S91" s="298"/>
      <c r="T91" s="298"/>
      <c r="U91" s="298"/>
      <c r="V91" s="233"/>
      <c r="W91" s="298"/>
      <c r="X91" s="298"/>
      <c r="Y91" s="298"/>
      <c r="Z91" s="298"/>
      <c r="AA91" s="298"/>
      <c r="AB91" s="298"/>
    </row>
    <row r="92" spans="1:28" ht="15.5" hidden="1">
      <c r="A92" s="666" t="s">
        <v>421</v>
      </c>
      <c r="B92" s="664">
        <v>0</v>
      </c>
      <c r="C92" s="665"/>
      <c r="O92" s="298"/>
      <c r="P92" s="298"/>
      <c r="Q92" s="298"/>
      <c r="R92" s="298"/>
      <c r="S92" s="298"/>
      <c r="T92" s="298"/>
      <c r="U92" s="298"/>
      <c r="V92" s="233"/>
      <c r="W92" s="298"/>
      <c r="X92" s="298"/>
      <c r="Y92" s="298"/>
      <c r="Z92" s="298"/>
      <c r="AA92" s="298"/>
      <c r="AB92" s="298"/>
    </row>
    <row r="93" spans="1:28" ht="15.5" hidden="1">
      <c r="O93" s="298"/>
      <c r="P93" s="298"/>
      <c r="Q93" s="298"/>
      <c r="R93" s="298"/>
      <c r="S93" s="298"/>
      <c r="T93" s="298"/>
      <c r="U93" s="298"/>
      <c r="V93" s="233"/>
      <c r="W93" s="298"/>
      <c r="X93" s="298"/>
      <c r="Y93" s="298"/>
      <c r="Z93" s="298"/>
      <c r="AA93" s="298"/>
      <c r="AB93" s="298"/>
    </row>
    <row r="94" spans="1:28" ht="15.5" hidden="1">
      <c r="A94" s="189" t="s">
        <v>381</v>
      </c>
      <c r="O94" s="298"/>
      <c r="P94" s="298"/>
      <c r="Q94" s="298"/>
      <c r="R94" s="298"/>
      <c r="S94" s="298"/>
      <c r="T94" s="298"/>
      <c r="U94" s="298"/>
      <c r="V94" s="233"/>
      <c r="W94" s="298"/>
      <c r="X94" s="298"/>
      <c r="Y94" s="298"/>
      <c r="Z94" s="298"/>
      <c r="AA94" s="298"/>
      <c r="AB94" s="298"/>
    </row>
    <row r="95" spans="1:28" ht="15.5" hidden="1">
      <c r="A95" s="189">
        <v>0</v>
      </c>
      <c r="O95" s="298"/>
      <c r="P95" s="298"/>
      <c r="Q95" s="298"/>
      <c r="R95" s="298"/>
      <c r="S95" s="298"/>
      <c r="T95" s="298"/>
      <c r="U95" s="298"/>
      <c r="V95" s="233"/>
      <c r="W95" s="298"/>
      <c r="X95" s="298"/>
      <c r="Y95" s="298"/>
      <c r="Z95" s="298"/>
      <c r="AA95" s="298"/>
      <c r="AB95" s="298"/>
    </row>
    <row r="96" spans="1:28" ht="15.5" hidden="1">
      <c r="A96" s="189">
        <v>1.8700000000000001E-2</v>
      </c>
      <c r="O96" s="298"/>
      <c r="P96" s="298"/>
      <c r="Q96" s="298"/>
      <c r="R96" s="298"/>
      <c r="S96" s="298"/>
      <c r="T96" s="298"/>
      <c r="U96" s="298"/>
      <c r="V96" s="233"/>
      <c r="W96" s="298"/>
      <c r="X96" s="298"/>
      <c r="Y96" s="298"/>
      <c r="Z96" s="298"/>
      <c r="AA96" s="298"/>
      <c r="AB96" s="298"/>
    </row>
    <row r="97" spans="1:28" ht="15.5" hidden="1">
      <c r="A97" s="297">
        <v>2.75E-2</v>
      </c>
      <c r="O97" s="298"/>
      <c r="P97" s="298"/>
      <c r="Q97" s="298"/>
      <c r="R97" s="298"/>
      <c r="S97" s="298"/>
      <c r="T97" s="298"/>
      <c r="U97" s="298"/>
      <c r="V97" s="233"/>
      <c r="W97" s="298"/>
      <c r="X97" s="298"/>
      <c r="Y97" s="298"/>
      <c r="Z97" s="298"/>
      <c r="AA97" s="298"/>
      <c r="AB97" s="298"/>
    </row>
    <row r="98" spans="1:28" ht="15.5" hidden="1">
      <c r="A98" s="189">
        <v>2.8199999999999999E-2</v>
      </c>
      <c r="O98" s="298"/>
      <c r="P98" s="298"/>
      <c r="Q98" s="298"/>
      <c r="R98" s="298"/>
      <c r="S98" s="298"/>
      <c r="T98" s="298"/>
      <c r="U98" s="298"/>
      <c r="V98" s="233"/>
      <c r="W98" s="298"/>
      <c r="X98" s="298"/>
      <c r="Y98" s="298"/>
      <c r="Z98" s="298"/>
      <c r="AA98" s="298"/>
      <c r="AB98" s="298"/>
    </row>
    <row r="99" spans="1:28" ht="15.5" hidden="1">
      <c r="A99" s="189">
        <v>4.6800000000000001E-2</v>
      </c>
      <c r="O99" s="298"/>
      <c r="P99" s="298"/>
      <c r="Q99" s="298"/>
      <c r="R99" s="298"/>
      <c r="S99" s="298"/>
      <c r="T99" s="298"/>
      <c r="U99" s="298"/>
      <c r="V99" s="233"/>
      <c r="W99" s="298"/>
      <c r="X99" s="298"/>
      <c r="Y99" s="298"/>
      <c r="Z99" s="298"/>
      <c r="AA99" s="298"/>
      <c r="AB99" s="298"/>
    </row>
    <row r="100" spans="1:28" ht="15.5" hidden="1">
      <c r="A100" s="189">
        <v>7.0400000000000004E-2</v>
      </c>
      <c r="O100" s="298"/>
      <c r="P100" s="298"/>
      <c r="Q100" s="298"/>
      <c r="R100" s="298"/>
      <c r="S100" s="298"/>
      <c r="T100" s="298"/>
      <c r="U100" s="298"/>
      <c r="V100" s="233"/>
      <c r="W100" s="298"/>
      <c r="X100" s="298"/>
      <c r="Y100" s="298"/>
      <c r="Z100" s="298"/>
      <c r="AA100" s="298"/>
      <c r="AB100" s="298"/>
    </row>
    <row r="101" spans="1:28" ht="15.5" hidden="1">
      <c r="A101" s="189">
        <v>7.7799999999999994E-2</v>
      </c>
      <c r="O101" s="298"/>
      <c r="P101" s="298"/>
      <c r="Q101" s="298"/>
      <c r="R101" s="298"/>
      <c r="S101" s="298"/>
      <c r="T101" s="298"/>
      <c r="U101" s="298"/>
      <c r="V101" s="233"/>
      <c r="W101" s="298"/>
      <c r="X101" s="298"/>
      <c r="Y101" s="298"/>
      <c r="Z101" s="298"/>
      <c r="AA101" s="298"/>
      <c r="AB101" s="298"/>
    </row>
    <row r="102" spans="1:28" ht="15.5" hidden="1">
      <c r="A102" s="189">
        <v>8.5199999999999998E-2</v>
      </c>
      <c r="O102" s="298"/>
      <c r="P102" s="298"/>
      <c r="Q102" s="298"/>
      <c r="R102" s="298"/>
      <c r="S102" s="298"/>
      <c r="T102" s="298"/>
      <c r="U102" s="298"/>
      <c r="V102" s="233"/>
      <c r="W102" s="298"/>
      <c r="X102" s="298"/>
      <c r="Y102" s="298"/>
      <c r="Z102" s="298"/>
      <c r="AA102" s="298"/>
      <c r="AB102" s="298"/>
    </row>
    <row r="103" spans="1:28" ht="15.5" hidden="1">
      <c r="A103" s="189">
        <v>9.2499999999999999E-2</v>
      </c>
      <c r="O103" s="298"/>
      <c r="P103" s="298"/>
      <c r="Q103" s="298"/>
      <c r="R103" s="298"/>
      <c r="S103" s="298"/>
      <c r="T103" s="298"/>
      <c r="U103" s="298"/>
      <c r="V103" s="233"/>
      <c r="W103" s="298"/>
      <c r="X103" s="298"/>
      <c r="Y103" s="298"/>
      <c r="Z103" s="298"/>
      <c r="AA103" s="298"/>
      <c r="AB103" s="298"/>
    </row>
    <row r="104" spans="1:28" ht="15.5" hidden="1">
      <c r="A104" s="189">
        <v>0.12280000000000001</v>
      </c>
      <c r="O104" s="298"/>
      <c r="P104" s="298"/>
      <c r="Q104" s="298"/>
      <c r="R104" s="298"/>
      <c r="S104" s="298"/>
      <c r="T104" s="298"/>
      <c r="U104" s="298"/>
      <c r="V104" s="233"/>
      <c r="W104" s="298"/>
      <c r="X104" s="298"/>
      <c r="Y104" s="298"/>
      <c r="Z104" s="298"/>
      <c r="AA104" s="298"/>
      <c r="AB104" s="298"/>
    </row>
    <row r="105" spans="1:28" ht="15.5" hidden="1">
      <c r="O105" s="298"/>
      <c r="P105" s="298"/>
      <c r="Q105" s="298"/>
      <c r="R105" s="298"/>
      <c r="S105" s="298"/>
      <c r="T105" s="298"/>
      <c r="U105" s="298"/>
      <c r="V105" s="233"/>
      <c r="W105" s="298"/>
      <c r="X105" s="298"/>
      <c r="Y105" s="298"/>
      <c r="Z105" s="298"/>
      <c r="AA105" s="298"/>
      <c r="AB105" s="298"/>
    </row>
    <row r="106" spans="1:28" ht="15.5" hidden="1">
      <c r="A106" s="189" t="s">
        <v>818</v>
      </c>
      <c r="C106" s="192"/>
      <c r="O106" s="298"/>
      <c r="P106" s="298"/>
      <c r="Q106" s="298"/>
      <c r="R106" s="298"/>
      <c r="S106" s="298"/>
      <c r="T106" s="298"/>
      <c r="U106" s="298"/>
      <c r="V106" s="233"/>
      <c r="W106" s="298"/>
      <c r="X106" s="298"/>
      <c r="Y106" s="298"/>
      <c r="Z106" s="298"/>
      <c r="AA106" s="298"/>
      <c r="AB106" s="298"/>
    </row>
    <row r="107" spans="1:28" ht="15.5" hidden="1">
      <c r="A107" s="189">
        <f>IF(C17&lt;=13.7,0.0187,IF(C17&lt;=14.8,0.0468,IF(C17&gt;15.9,0)))</f>
        <v>1.8700000000000001E-2</v>
      </c>
      <c r="O107" s="298"/>
      <c r="P107" s="298"/>
      <c r="Q107" s="298"/>
      <c r="R107" s="298"/>
      <c r="S107" s="298"/>
      <c r="T107" s="298"/>
      <c r="U107" s="298"/>
      <c r="V107" s="233"/>
      <c r="W107" s="298"/>
      <c r="X107" s="298"/>
      <c r="Y107" s="298"/>
      <c r="Z107" s="298"/>
      <c r="AA107" s="298"/>
      <c r="AB107" s="298"/>
    </row>
    <row r="108" spans="1:28" ht="15.5" hidden="1">
      <c r="O108" s="298"/>
      <c r="P108" s="298"/>
      <c r="Q108" s="298"/>
      <c r="R108" s="298"/>
      <c r="S108" s="298"/>
      <c r="T108" s="298"/>
      <c r="U108" s="298"/>
      <c r="V108" s="233"/>
      <c r="W108" s="298"/>
      <c r="X108" s="298"/>
      <c r="Y108" s="298"/>
      <c r="Z108" s="298"/>
      <c r="AA108" s="298"/>
      <c r="AB108" s="298"/>
    </row>
    <row r="109" spans="1:28" ht="15.5" hidden="1">
      <c r="A109" s="271" t="s">
        <v>819</v>
      </c>
      <c r="B109" s="271"/>
      <c r="E109" s="667"/>
      <c r="F109" s="667"/>
      <c r="G109" s="667"/>
      <c r="H109" s="667"/>
      <c r="O109" s="298"/>
      <c r="P109" s="298"/>
      <c r="Q109" s="298"/>
      <c r="R109" s="298"/>
      <c r="S109" s="298"/>
      <c r="T109" s="298"/>
      <c r="U109" s="298"/>
      <c r="V109" s="233"/>
      <c r="W109" s="298"/>
      <c r="X109" s="298"/>
      <c r="Y109" s="298"/>
      <c r="Z109" s="298"/>
      <c r="AA109" s="298"/>
      <c r="AB109" s="298"/>
    </row>
    <row r="110" spans="1:28" ht="15.5" hidden="1">
      <c r="A110" s="271" t="s">
        <v>379</v>
      </c>
      <c r="B110" s="271">
        <v>0</v>
      </c>
      <c r="E110" s="668"/>
      <c r="F110" s="668"/>
      <c r="G110" s="668"/>
      <c r="H110" s="668"/>
      <c r="O110" s="298"/>
      <c r="P110" s="298"/>
      <c r="Q110" s="298"/>
      <c r="R110" s="298"/>
      <c r="S110" s="298"/>
      <c r="T110" s="298"/>
      <c r="U110" s="298"/>
      <c r="V110" s="233"/>
      <c r="W110" s="298"/>
      <c r="X110" s="298"/>
      <c r="Y110" s="298"/>
      <c r="Z110" s="298"/>
      <c r="AA110" s="298"/>
      <c r="AB110" s="298"/>
    </row>
    <row r="111" spans="1:28" ht="15.5" hidden="1">
      <c r="A111" s="271" t="s">
        <v>815</v>
      </c>
      <c r="B111" s="271">
        <v>0.2616</v>
      </c>
      <c r="O111" s="298"/>
      <c r="P111" s="298"/>
      <c r="Q111" s="298"/>
      <c r="R111" s="298"/>
      <c r="S111" s="298"/>
      <c r="T111" s="298"/>
      <c r="U111" s="298"/>
      <c r="V111" s="233"/>
      <c r="W111" s="298"/>
      <c r="X111" s="298"/>
      <c r="Y111" s="298"/>
      <c r="Z111" s="298"/>
      <c r="AA111" s="298"/>
      <c r="AB111" s="298"/>
    </row>
    <row r="112" spans="1:28" ht="15.5" hidden="1">
      <c r="A112" s="271" t="s">
        <v>423</v>
      </c>
      <c r="B112" s="271">
        <v>0.379</v>
      </c>
      <c r="O112" s="298"/>
      <c r="P112" s="298"/>
      <c r="Q112" s="298"/>
      <c r="R112" s="298"/>
      <c r="S112" s="298"/>
      <c r="T112" s="298"/>
      <c r="U112" s="298"/>
      <c r="V112" s="233"/>
      <c r="W112" s="298"/>
      <c r="X112" s="298"/>
      <c r="Y112" s="298"/>
      <c r="Z112" s="298"/>
      <c r="AA112" s="298"/>
      <c r="AB112" s="298"/>
    </row>
    <row r="113" spans="1:28" ht="15.5" hidden="1">
      <c r="A113" s="271" t="s">
        <v>805</v>
      </c>
      <c r="B113" s="271">
        <v>0.2959</v>
      </c>
      <c r="O113" s="298"/>
      <c r="P113" s="298"/>
      <c r="Q113" s="298"/>
      <c r="R113" s="298"/>
      <c r="S113" s="298"/>
      <c r="T113" s="298"/>
      <c r="U113" s="298"/>
      <c r="V113" s="233"/>
      <c r="W113" s="298"/>
      <c r="X113" s="298"/>
      <c r="Y113" s="298"/>
      <c r="Z113" s="298"/>
      <c r="AA113" s="298"/>
      <c r="AB113" s="298"/>
    </row>
    <row r="114" spans="1:28" ht="15.5" hidden="1">
      <c r="A114" s="271" t="s">
        <v>61</v>
      </c>
      <c r="B114" s="271">
        <v>0.67530000000000001</v>
      </c>
      <c r="O114" s="298"/>
      <c r="P114" s="298"/>
      <c r="Q114" s="298"/>
      <c r="R114" s="298"/>
      <c r="S114" s="298"/>
      <c r="T114" s="298"/>
      <c r="U114" s="298"/>
      <c r="V114" s="233"/>
      <c r="W114" s="298"/>
      <c r="X114" s="298"/>
      <c r="Y114" s="298"/>
      <c r="Z114" s="298"/>
      <c r="AA114" s="298"/>
      <c r="AB114" s="298"/>
    </row>
    <row r="115" spans="1:28" ht="15.5" hidden="1">
      <c r="O115" s="298"/>
      <c r="P115" s="298"/>
      <c r="Q115" s="298"/>
      <c r="R115" s="298"/>
      <c r="S115" s="298"/>
      <c r="T115" s="298"/>
      <c r="U115" s="298"/>
      <c r="V115" s="233"/>
      <c r="W115" s="298"/>
      <c r="X115" s="298"/>
      <c r="Y115" s="298"/>
      <c r="Z115" s="298"/>
      <c r="AA115" s="298"/>
      <c r="AB115" s="298"/>
    </row>
    <row r="116" spans="1:28" ht="15.5" hidden="1">
      <c r="A116" s="300" t="s">
        <v>820</v>
      </c>
      <c r="B116" s="300"/>
      <c r="O116" s="298"/>
      <c r="P116" s="298"/>
      <c r="Q116" s="298"/>
      <c r="R116" s="298"/>
      <c r="S116" s="298"/>
      <c r="T116" s="298"/>
      <c r="U116" s="298"/>
      <c r="V116" s="233"/>
      <c r="W116" s="298"/>
      <c r="X116" s="298"/>
      <c r="Y116" s="298"/>
      <c r="Z116" s="298"/>
      <c r="AA116" s="298"/>
      <c r="AB116" s="298"/>
    </row>
    <row r="117" spans="1:28" ht="15.5" hidden="1">
      <c r="A117" s="292" t="s">
        <v>800</v>
      </c>
      <c r="B117" s="669">
        <v>0.71499999999999997</v>
      </c>
    </row>
    <row r="118" spans="1:28" ht="15.5" hidden="1">
      <c r="A118" s="292" t="s">
        <v>811</v>
      </c>
      <c r="B118" s="669">
        <v>0.64600000000000002</v>
      </c>
    </row>
    <row r="119" spans="1:28" ht="15.5" hidden="1">
      <c r="A119" s="292" t="s">
        <v>420</v>
      </c>
      <c r="B119" s="669">
        <v>0.69299999999999995</v>
      </c>
    </row>
    <row r="120" spans="1:28" ht="15.5" hidden="1">
      <c r="A120" s="292" t="s">
        <v>812</v>
      </c>
      <c r="B120" s="669">
        <v>1.1399999999999999</v>
      </c>
    </row>
    <row r="121" spans="1:28" ht="15.5" hidden="1">
      <c r="A121" s="292" t="s">
        <v>813</v>
      </c>
      <c r="B121" s="669">
        <v>0.71499999999999997</v>
      </c>
    </row>
    <row r="122" spans="1:28" ht="15.5" hidden="1">
      <c r="A122" s="292" t="s">
        <v>814</v>
      </c>
      <c r="B122" s="669">
        <v>0.71499999999999997</v>
      </c>
    </row>
    <row r="123" spans="1:28" ht="15.5" hidden="1">
      <c r="A123" s="292" t="s">
        <v>421</v>
      </c>
      <c r="B123" s="669">
        <v>1.1399999999999999</v>
      </c>
    </row>
    <row r="124" spans="1:28" hidden="1">
      <c r="A124" s="670"/>
      <c r="B124" s="671"/>
    </row>
    <row r="125" spans="1:28" hidden="1">
      <c r="A125" s="670"/>
      <c r="B125" s="671"/>
    </row>
    <row r="126" spans="1:28" hidden="1">
      <c r="A126" s="271" t="s">
        <v>409</v>
      </c>
      <c r="B126" s="272">
        <f>+ROUND(((C14*C15)*C17)/100,4)</f>
        <v>1.17</v>
      </c>
    </row>
    <row r="127" spans="1:28" hidden="1"/>
    <row r="128" spans="1:28" hidden="1"/>
    <row r="129" spans="1:2" hidden="1">
      <c r="A129" s="672" t="s">
        <v>401</v>
      </c>
      <c r="B129" s="673">
        <v>0.1</v>
      </c>
    </row>
    <row r="130" spans="1:2" hidden="1">
      <c r="A130" s="672" t="s">
        <v>377</v>
      </c>
      <c r="B130" s="673">
        <v>0.05</v>
      </c>
    </row>
    <row r="131" spans="1:2" hidden="1"/>
    <row r="132" spans="1:2" hidden="1"/>
    <row r="133" spans="1:2" hidden="1"/>
    <row r="134" spans="1:2" hidden="1"/>
    <row r="135" spans="1:2" hidden="1">
      <c r="A135" s="189" t="s">
        <v>821</v>
      </c>
    </row>
    <row r="136" spans="1:2" hidden="1">
      <c r="A136" s="189" t="s">
        <v>822</v>
      </c>
      <c r="B136" s="189" t="s">
        <v>823</v>
      </c>
    </row>
    <row r="137" spans="1:2" hidden="1">
      <c r="A137" s="189" t="s">
        <v>824</v>
      </c>
      <c r="B137" s="189">
        <v>2.8199999999999999E-2</v>
      </c>
    </row>
    <row r="138" spans="1:2" hidden="1">
      <c r="A138" s="189" t="s">
        <v>825</v>
      </c>
      <c r="B138" s="189">
        <v>7.0400000000000004E-2</v>
      </c>
    </row>
    <row r="139" spans="1:2" hidden="1">
      <c r="A139" s="189" t="s">
        <v>826</v>
      </c>
      <c r="B139" s="189">
        <v>7.7799999999999994E-2</v>
      </c>
    </row>
    <row r="140" spans="1:2" hidden="1">
      <c r="A140" s="189" t="s">
        <v>827</v>
      </c>
      <c r="B140" s="189">
        <v>8.5199999999999998E-2</v>
      </c>
    </row>
    <row r="141" spans="1:2" hidden="1">
      <c r="A141" s="189" t="s">
        <v>828</v>
      </c>
      <c r="B141" s="189">
        <v>9.2499999999999999E-2</v>
      </c>
    </row>
    <row r="142" spans="1:2" hidden="1">
      <c r="A142" s="189" t="s">
        <v>829</v>
      </c>
      <c r="B142" s="189">
        <v>0.1</v>
      </c>
    </row>
    <row r="143" spans="1:2" hidden="1">
      <c r="A143" s="189" t="s">
        <v>830</v>
      </c>
      <c r="B143" s="189">
        <v>0.10730000000000001</v>
      </c>
    </row>
    <row r="144" spans="1:2" hidden="1">
      <c r="A144" s="189" t="s">
        <v>831</v>
      </c>
      <c r="B144" s="189">
        <v>0.1148</v>
      </c>
    </row>
    <row r="145" spans="1:3" hidden="1">
      <c r="A145" s="189" t="s">
        <v>832</v>
      </c>
      <c r="B145" s="189">
        <v>0.1221</v>
      </c>
    </row>
    <row r="146" spans="1:3" hidden="1">
      <c r="A146" s="189" t="s">
        <v>833</v>
      </c>
      <c r="B146" s="189">
        <v>0.1295</v>
      </c>
    </row>
    <row r="147" spans="1:3" hidden="1">
      <c r="A147" s="189" t="s">
        <v>834</v>
      </c>
      <c r="B147" s="189">
        <v>0.1295</v>
      </c>
    </row>
    <row r="148" spans="1:3" hidden="1"/>
    <row r="149" spans="1:3" hidden="1"/>
    <row r="150" spans="1:3" hidden="1">
      <c r="A150" s="189" t="s">
        <v>835</v>
      </c>
    </row>
    <row r="151" spans="1:3" hidden="1">
      <c r="A151" s="189">
        <f>IF(C17&lt;=13.6,0.0282,IF(C17&lt;=14.8,0.0704,IF(C17&lt;=15.8,0.0778,IF(C17&lt;=16.8,0.0852,IF(C17&lt;=17.8,0.0925,IF(C17&lt;=18.8,0.1,IF(C17&lt;=19.8,0.1073,IF(C17&lt;=20.8,0.1148,IF(C17&lt;=21.8,0.1221,IF(C17&lt;=22.8,0.1295,IF(C17&gt;=22.9,0.1295)))))))))))</f>
        <v>2.8199999999999999E-2</v>
      </c>
    </row>
    <row r="152" spans="1:3" ht="15" hidden="1" thickBot="1"/>
    <row r="153" spans="1:3" hidden="1">
      <c r="A153" s="674" t="s">
        <v>836</v>
      </c>
    </row>
    <row r="154" spans="1:3" hidden="1">
      <c r="A154" s="675" t="s">
        <v>837</v>
      </c>
      <c r="C154" s="189"/>
    </row>
    <row r="155" spans="1:3" hidden="1">
      <c r="A155" s="676">
        <f>IF(AND(C8=A69,C10=A81),A107, 0)</f>
        <v>0</v>
      </c>
      <c r="C155" s="189"/>
    </row>
    <row r="156" spans="1:3" hidden="1">
      <c r="A156" s="675" t="s">
        <v>838</v>
      </c>
      <c r="C156" s="189"/>
    </row>
    <row r="157" spans="1:3" hidden="1">
      <c r="A157" s="676" t="b">
        <f>IF(C8=A70,0)</f>
        <v>0</v>
      </c>
      <c r="C157" s="189"/>
    </row>
    <row r="158" spans="1:3" hidden="1">
      <c r="A158" s="675" t="s">
        <v>839</v>
      </c>
      <c r="C158" s="189"/>
    </row>
    <row r="159" spans="1:3" hidden="1">
      <c r="A159" s="676" t="b">
        <f>IF(C8=A71,0)</f>
        <v>0</v>
      </c>
      <c r="C159" s="189"/>
    </row>
    <row r="160" spans="1:3" hidden="1">
      <c r="A160" s="675" t="s">
        <v>840</v>
      </c>
      <c r="C160" s="189"/>
    </row>
    <row r="161" spans="1:3" hidden="1">
      <c r="A161" s="676" t="b">
        <f>IF(C8=A73,0)</f>
        <v>0</v>
      </c>
      <c r="C161" s="189"/>
    </row>
    <row r="162" spans="1:3" hidden="1">
      <c r="A162" s="675" t="s">
        <v>841</v>
      </c>
      <c r="C162" s="189"/>
    </row>
    <row r="163" spans="1:3" hidden="1">
      <c r="A163" s="676">
        <f>IF(AND(C8=A74,C10=A81), A151,0)</f>
        <v>0</v>
      </c>
      <c r="C163" s="189"/>
    </row>
    <row r="164" spans="1:3" hidden="1">
      <c r="A164" s="675" t="s">
        <v>842</v>
      </c>
      <c r="C164" s="189"/>
    </row>
    <row r="165" spans="1:3" ht="15" hidden="1" thickBot="1">
      <c r="A165" s="677" t="b">
        <f>IF(C8=A75,0)</f>
        <v>0</v>
      </c>
      <c r="C165" s="189"/>
    </row>
    <row r="166" spans="1:3" hidden="1"/>
    <row r="167" spans="1:3" hidden="1">
      <c r="A167" s="678" t="s">
        <v>843</v>
      </c>
    </row>
    <row r="168" spans="1:3" hidden="1">
      <c r="A168" s="271">
        <f>IF(C8=A154,A155,IF(C8=A156,A157,IF(C8=A158,A159,IF(C8=A160,A161,IF(C8=A162,A163, IF(C8=A164,A165))))))</f>
        <v>0</v>
      </c>
    </row>
    <row r="169" spans="1:3" hidden="1"/>
    <row r="170" spans="1:3" hidden="1">
      <c r="A170" s="678" t="s">
        <v>844</v>
      </c>
    </row>
    <row r="171" spans="1:3" hidden="1">
      <c r="A171" s="271" t="s">
        <v>802</v>
      </c>
    </row>
    <row r="172" spans="1:3" hidden="1">
      <c r="A172" s="271" t="s">
        <v>845</v>
      </c>
    </row>
  </sheetData>
  <protectedRanges>
    <protectedRange password="CCE3" sqref="E10:G16" name="Range3"/>
  </protectedRanges>
  <dataConsolidate link="1"/>
  <mergeCells count="39">
    <mergeCell ref="V33:W33"/>
    <mergeCell ref="V22:W22"/>
    <mergeCell ref="O44:T44"/>
    <mergeCell ref="O45:T45"/>
    <mergeCell ref="S16:T16"/>
    <mergeCell ref="O17:O43"/>
    <mergeCell ref="P23:P24"/>
    <mergeCell ref="P26:P27"/>
    <mergeCell ref="R26:R27"/>
    <mergeCell ref="P32:P33"/>
    <mergeCell ref="R32:R33"/>
    <mergeCell ref="P41:P42"/>
    <mergeCell ref="R41:R42"/>
    <mergeCell ref="Z7:Z13"/>
    <mergeCell ref="AA7:AA13"/>
    <mergeCell ref="AB7:AB13"/>
    <mergeCell ref="V9:V13"/>
    <mergeCell ref="T13:U13"/>
    <mergeCell ref="S7:S13"/>
    <mergeCell ref="T7:U12"/>
    <mergeCell ref="W7:W13"/>
    <mergeCell ref="X7:X13"/>
    <mergeCell ref="Y7:Y13"/>
    <mergeCell ref="I4:J4"/>
    <mergeCell ref="F5:G5"/>
    <mergeCell ref="A83:A85"/>
    <mergeCell ref="O3:AB3"/>
    <mergeCell ref="O4:O6"/>
    <mergeCell ref="P4:P6"/>
    <mergeCell ref="R4:R6"/>
    <mergeCell ref="S4:S6"/>
    <mergeCell ref="T4:U6"/>
    <mergeCell ref="V4:W5"/>
    <mergeCell ref="O15:T15"/>
    <mergeCell ref="X4:AB4"/>
    <mergeCell ref="X5:AB5"/>
    <mergeCell ref="P7:P9"/>
    <mergeCell ref="Q7:Q10"/>
    <mergeCell ref="R7:R13"/>
  </mergeCells>
  <dataValidations count="4">
    <dataValidation type="list" showInputMessage="1" showErrorMessage="1" prompt="Pick from drop-down list_x000a_" sqref="C9" xr:uid="{183D5DD5-E28C-4425-ACAD-FE80710DCD7F}">
      <formula1>$A$171:$A$172</formula1>
    </dataValidation>
    <dataValidation type="list" allowBlank="1" showInputMessage="1" showErrorMessage="1" prompt="Pick from drop-down list" sqref="C8" xr:uid="{5ED89B3B-E4C9-433D-8624-9FBDB7C309A8}">
      <formula1>$A$69:$A$75</formula1>
    </dataValidation>
    <dataValidation type="list" showInputMessage="1" showErrorMessage="1" prompt="Pick from drop-down list_x000a_" sqref="C10" xr:uid="{A7368CDE-D4F1-46A8-B202-691527719836}">
      <formula1>$A$77:$A$81</formula1>
    </dataValidation>
    <dataValidation type="list" allowBlank="1" showInputMessage="1" showErrorMessage="1" prompt="Pick from drop-down list" sqref="G22" xr:uid="{C1A01C6E-9864-46B5-B2EB-F6D0AC5E1826}">
      <formula1>$A$62:$A$63</formula1>
    </dataValidation>
  </dataValidations>
  <hyperlinks>
    <hyperlink ref="W24" r:id="rId1" xr:uid="{5D85F5B4-76D7-4BDA-ADB1-7440F9E62B05}"/>
    <hyperlink ref="W25" r:id="rId2" xr:uid="{2DAD367F-8692-4B89-B8C7-87D051E79CC8}"/>
    <hyperlink ref="W31" r:id="rId3" xr:uid="{0D9B325C-4E44-40AA-92D4-D3DF2EA8AD34}"/>
    <hyperlink ref="W30" r:id="rId4" xr:uid="{4DA1A154-3436-40C7-95F3-FC4A87818C72}"/>
    <hyperlink ref="W29" r:id="rId5" xr:uid="{AD4E5B15-0BFE-4DBF-BD8A-B23CEC17652A}"/>
    <hyperlink ref="W26" r:id="rId6" xr:uid="{C1C27EF2-E251-4BCE-A72E-17494C1E1898}"/>
    <hyperlink ref="W23" r:id="rId7" xr:uid="{2016C898-12DC-48C0-89BA-CDB2B5B4E56E}"/>
    <hyperlink ref="W28" r:id="rId8" xr:uid="{88867BB7-87B0-4860-807A-31A5344A5785}"/>
    <hyperlink ref="W32" r:id="rId9" xr:uid="{F2522F28-82E7-41DA-A685-EA0FE0CA9B3E}"/>
    <hyperlink ref="W27" r:id="rId10" xr:uid="{D5CCA11F-6EB4-4647-9DE8-FB57F7CEB53C}"/>
  </hyperlinks>
  <printOptions horizontalCentered="1" gridLinesSet="0"/>
  <pageMargins left="0" right="0" top="0" bottom="0" header="0.511811023622047" footer="0.511811023622047"/>
  <pageSetup scale="74" orientation="portrait" horizontalDpi="300" verticalDpi="300" r:id="rId11"/>
  <headerFooter alignWithMargins="0"/>
  <drawing r:id="rId12"/>
  <legacyDrawing r:id="rId1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F3FB8-5A5C-4331-BF14-515C6E0C7930}">
  <sheetPr>
    <tabColor rgb="FF00B0F0"/>
  </sheetPr>
  <dimension ref="A1:N115"/>
  <sheetViews>
    <sheetView showGridLines="0" topLeftCell="A36" zoomScale="90" zoomScaleNormal="90" workbookViewId="0">
      <selection activeCell="A2" sqref="A2:N115"/>
    </sheetView>
  </sheetViews>
  <sheetFormatPr defaultColWidth="9.58203125" defaultRowHeight="14.5"/>
  <cols>
    <col min="1" max="1" width="31.58203125" style="298" customWidth="1"/>
    <col min="2" max="2" width="14.58203125" style="298" customWidth="1"/>
    <col min="3" max="3" width="19.58203125" style="298" customWidth="1"/>
    <col min="4" max="4" width="24.83203125" style="298" customWidth="1"/>
    <col min="5" max="5" width="17.5" style="298" bestFit="1" customWidth="1"/>
    <col min="6" max="6" width="24.83203125" style="298" customWidth="1"/>
    <col min="7" max="7" width="63.5" style="298" customWidth="1"/>
    <col min="8" max="8" width="80.58203125" style="298" customWidth="1"/>
    <col min="9" max="9" width="22.33203125" style="298" bestFit="1" customWidth="1"/>
    <col min="10" max="10" width="11" style="298" bestFit="1" customWidth="1"/>
    <col min="11" max="16384" width="9.58203125" style="298"/>
  </cols>
  <sheetData>
    <row r="1" spans="1:14">
      <c r="A1" s="299"/>
      <c r="B1" s="299"/>
      <c r="C1" s="299"/>
    </row>
    <row r="2" spans="1:14" ht="18">
      <c r="A2" s="936" t="s">
        <v>846</v>
      </c>
      <c r="B2" s="937"/>
      <c r="C2" s="937"/>
      <c r="D2" s="937"/>
      <c r="E2" s="937"/>
      <c r="F2" s="937"/>
      <c r="G2" s="937"/>
      <c r="H2" s="937"/>
      <c r="I2" s="937"/>
      <c r="J2" s="937"/>
      <c r="K2" s="937"/>
      <c r="L2" s="937"/>
      <c r="M2" s="937"/>
      <c r="N2" s="938"/>
    </row>
    <row r="3" spans="1:14">
      <c r="A3" s="939" t="s">
        <v>816</v>
      </c>
      <c r="B3" s="939" t="s">
        <v>430</v>
      </c>
      <c r="C3" s="659"/>
      <c r="D3" s="942" t="s">
        <v>432</v>
      </c>
      <c r="E3" s="939" t="s">
        <v>433</v>
      </c>
      <c r="F3" s="945" t="s">
        <v>383</v>
      </c>
      <c r="G3" s="946"/>
      <c r="H3" s="951" t="s">
        <v>381</v>
      </c>
      <c r="I3" s="942"/>
      <c r="J3" s="956" t="s">
        <v>847</v>
      </c>
      <c r="K3" s="957"/>
      <c r="L3" s="957"/>
      <c r="M3" s="957"/>
      <c r="N3" s="958"/>
    </row>
    <row r="4" spans="1:14">
      <c r="A4" s="940"/>
      <c r="B4" s="940"/>
      <c r="C4" s="679" t="s">
        <v>431</v>
      </c>
      <c r="D4" s="943"/>
      <c r="E4" s="940"/>
      <c r="F4" s="947"/>
      <c r="G4" s="948"/>
      <c r="H4" s="952"/>
      <c r="I4" s="944"/>
      <c r="J4" s="959" t="s">
        <v>848</v>
      </c>
      <c r="K4" s="960"/>
      <c r="L4" s="960"/>
      <c r="M4" s="960"/>
      <c r="N4" s="961"/>
    </row>
    <row r="5" spans="1:14">
      <c r="A5" s="941"/>
      <c r="B5" s="941"/>
      <c r="C5" s="661"/>
      <c r="D5" s="944"/>
      <c r="E5" s="941"/>
      <c r="F5" s="949"/>
      <c r="G5" s="950"/>
      <c r="H5" s="682" t="s">
        <v>849</v>
      </c>
      <c r="I5" s="682" t="s">
        <v>850</v>
      </c>
      <c r="J5" s="683" t="s">
        <v>851</v>
      </c>
      <c r="K5" s="683" t="s">
        <v>815</v>
      </c>
      <c r="L5" s="680" t="s">
        <v>423</v>
      </c>
      <c r="M5" s="683" t="s">
        <v>805</v>
      </c>
      <c r="N5" s="681" t="s">
        <v>852</v>
      </c>
    </row>
    <row r="6" spans="1:14">
      <c r="A6" s="684" t="s">
        <v>374</v>
      </c>
      <c r="B6" s="962">
        <v>0.71499999999999997</v>
      </c>
      <c r="C6" s="965">
        <v>1.62</v>
      </c>
      <c r="D6" s="967">
        <v>0.28999999999999998</v>
      </c>
      <c r="E6" s="971">
        <v>8.9300000000000004E-2</v>
      </c>
      <c r="F6" s="974" t="s">
        <v>853</v>
      </c>
      <c r="G6" s="975"/>
      <c r="H6" s="685" t="s">
        <v>854</v>
      </c>
      <c r="I6" s="980">
        <v>0</v>
      </c>
      <c r="J6" s="983">
        <v>0</v>
      </c>
      <c r="K6" s="983">
        <v>0.2616</v>
      </c>
      <c r="L6" s="986">
        <v>0.379</v>
      </c>
      <c r="M6" s="983">
        <v>0.2959</v>
      </c>
      <c r="N6" s="989">
        <v>0.67530000000000001</v>
      </c>
    </row>
    <row r="7" spans="1:14">
      <c r="A7" s="666" t="s">
        <v>855</v>
      </c>
      <c r="B7" s="963"/>
      <c r="C7" s="966"/>
      <c r="D7" s="968"/>
      <c r="E7" s="972"/>
      <c r="F7" s="976"/>
      <c r="G7" s="977"/>
      <c r="H7" s="685" t="s">
        <v>856</v>
      </c>
      <c r="I7" s="981"/>
      <c r="J7" s="984"/>
      <c r="K7" s="984"/>
      <c r="L7" s="987"/>
      <c r="M7" s="984"/>
      <c r="N7" s="990"/>
    </row>
    <row r="8" spans="1:14">
      <c r="A8" s="666" t="s">
        <v>435</v>
      </c>
      <c r="B8" s="964"/>
      <c r="C8" s="966"/>
      <c r="D8" s="968"/>
      <c r="E8" s="972"/>
      <c r="F8" s="976"/>
      <c r="G8" s="977"/>
      <c r="H8" s="980">
        <v>0</v>
      </c>
      <c r="I8" s="981"/>
      <c r="J8" s="984"/>
      <c r="K8" s="984"/>
      <c r="L8" s="987"/>
      <c r="M8" s="984"/>
      <c r="N8" s="990"/>
    </row>
    <row r="9" spans="1:14">
      <c r="A9" s="666" t="s">
        <v>434</v>
      </c>
      <c r="B9" s="686">
        <v>0.69299999999999995</v>
      </c>
      <c r="C9" s="966"/>
      <c r="D9" s="968"/>
      <c r="E9" s="972"/>
      <c r="F9" s="976"/>
      <c r="G9" s="977"/>
      <c r="H9" s="981"/>
      <c r="I9" s="981"/>
      <c r="J9" s="984"/>
      <c r="K9" s="984"/>
      <c r="L9" s="987"/>
      <c r="M9" s="984"/>
      <c r="N9" s="990"/>
    </row>
    <row r="10" spans="1:14">
      <c r="A10" s="666" t="s">
        <v>857</v>
      </c>
      <c r="B10" s="686">
        <v>1.1399999999999999</v>
      </c>
      <c r="C10" s="687"/>
      <c r="D10" s="968"/>
      <c r="E10" s="972"/>
      <c r="F10" s="976"/>
      <c r="G10" s="977"/>
      <c r="H10" s="981"/>
      <c r="I10" s="981"/>
      <c r="J10" s="984"/>
      <c r="K10" s="984"/>
      <c r="L10" s="987"/>
      <c r="M10" s="984"/>
      <c r="N10" s="990"/>
    </row>
    <row r="11" spans="1:14">
      <c r="A11" s="688" t="s">
        <v>858</v>
      </c>
      <c r="B11" s="689">
        <v>1.1399999999999999</v>
      </c>
      <c r="C11" s="664">
        <v>0</v>
      </c>
      <c r="D11" s="969"/>
      <c r="E11" s="972"/>
      <c r="F11" s="978"/>
      <c r="G11" s="979"/>
      <c r="H11" s="981"/>
      <c r="I11" s="981"/>
      <c r="J11" s="984"/>
      <c r="K11" s="984"/>
      <c r="L11" s="987"/>
      <c r="M11" s="984"/>
      <c r="N11" s="990"/>
    </row>
    <row r="12" spans="1:14">
      <c r="A12" s="666" t="s">
        <v>811</v>
      </c>
      <c r="B12" s="689">
        <v>0.64600000000000002</v>
      </c>
      <c r="C12" s="664">
        <v>1.62</v>
      </c>
      <c r="D12" s="970"/>
      <c r="E12" s="973"/>
      <c r="F12" s="992" t="s">
        <v>859</v>
      </c>
      <c r="G12" s="993"/>
      <c r="H12" s="982"/>
      <c r="I12" s="982"/>
      <c r="J12" s="985"/>
      <c r="K12" s="985"/>
      <c r="L12" s="988"/>
      <c r="M12" s="985"/>
      <c r="N12" s="991"/>
    </row>
    <row r="13" spans="1:14" ht="15" thickBot="1">
      <c r="A13" s="690"/>
      <c r="B13" s="691"/>
      <c r="C13" s="692"/>
      <c r="H13" s="192"/>
      <c r="I13" s="693"/>
    </row>
    <row r="14" spans="1:14" s="233" customFormat="1" ht="18.5" thickBot="1">
      <c r="A14" s="953" t="s">
        <v>860</v>
      </c>
      <c r="B14" s="954"/>
      <c r="C14" s="954"/>
      <c r="D14" s="954"/>
      <c r="E14" s="954"/>
      <c r="F14" s="955"/>
    </row>
    <row r="15" spans="1:14" s="233" customFormat="1" ht="18.649999999999999" customHeight="1" thickBot="1">
      <c r="A15" s="694" t="s">
        <v>379</v>
      </c>
      <c r="B15" s="695" t="s">
        <v>815</v>
      </c>
      <c r="C15" s="695" t="s">
        <v>423</v>
      </c>
      <c r="D15" s="695" t="s">
        <v>805</v>
      </c>
      <c r="E15" s="999" t="s">
        <v>861</v>
      </c>
      <c r="F15" s="1000"/>
    </row>
    <row r="16" spans="1:14" s="233" customFormat="1" ht="15.5">
      <c r="A16" s="1001" t="s">
        <v>52</v>
      </c>
      <c r="B16" s="696" t="s">
        <v>862</v>
      </c>
      <c r="C16" s="696" t="s">
        <v>745</v>
      </c>
      <c r="D16" s="696" t="s">
        <v>863</v>
      </c>
      <c r="E16" s="697" t="s">
        <v>864</v>
      </c>
      <c r="F16" s="698" t="s">
        <v>865</v>
      </c>
      <c r="G16" s="697"/>
    </row>
    <row r="17" spans="1:7" s="233" customFormat="1" ht="15.5">
      <c r="A17" s="1002"/>
      <c r="B17" s="696" t="s">
        <v>48</v>
      </c>
      <c r="C17" s="696" t="s">
        <v>50</v>
      </c>
      <c r="D17" s="696" t="s">
        <v>866</v>
      </c>
      <c r="E17" s="697" t="s">
        <v>867</v>
      </c>
      <c r="F17" s="699" t="s">
        <v>868</v>
      </c>
      <c r="G17" s="697"/>
    </row>
    <row r="18" spans="1:7" s="233" customFormat="1" ht="15.5">
      <c r="A18" s="1002"/>
      <c r="B18" s="700"/>
      <c r="C18" s="696" t="s">
        <v>869</v>
      </c>
      <c r="D18" s="696" t="s">
        <v>55</v>
      </c>
      <c r="E18" s="697" t="s">
        <v>870</v>
      </c>
      <c r="F18" s="701" t="s">
        <v>871</v>
      </c>
      <c r="G18" s="702"/>
    </row>
    <row r="19" spans="1:7" s="233" customFormat="1" ht="15.5">
      <c r="A19" s="1002"/>
      <c r="B19" s="700"/>
      <c r="C19" s="696" t="s">
        <v>746</v>
      </c>
      <c r="D19" s="696" t="s">
        <v>872</v>
      </c>
      <c r="E19" s="697" t="s">
        <v>873</v>
      </c>
      <c r="F19" s="701" t="s">
        <v>874</v>
      </c>
      <c r="G19" s="702"/>
    </row>
    <row r="20" spans="1:7" s="233" customFormat="1" ht="15.5">
      <c r="A20" s="1002"/>
      <c r="B20" s="700"/>
      <c r="C20" s="696" t="s">
        <v>747</v>
      </c>
      <c r="D20" s="696" t="s">
        <v>875</v>
      </c>
      <c r="E20" s="697" t="s">
        <v>876</v>
      </c>
      <c r="F20" s="701" t="s">
        <v>877</v>
      </c>
      <c r="G20" s="702"/>
    </row>
    <row r="21" spans="1:7" s="233" customFormat="1" ht="15.5">
      <c r="A21" s="1002"/>
      <c r="B21" s="700"/>
      <c r="C21" s="696" t="s">
        <v>878</v>
      </c>
      <c r="D21" s="696" t="s">
        <v>58</v>
      </c>
      <c r="E21" s="697" t="s">
        <v>879</v>
      </c>
      <c r="F21" s="701" t="s">
        <v>880</v>
      </c>
      <c r="G21" s="702"/>
    </row>
    <row r="22" spans="1:7" s="233" customFormat="1" ht="15.5">
      <c r="A22" s="1002"/>
      <c r="B22" s="1004"/>
      <c r="C22" s="696" t="s">
        <v>881</v>
      </c>
      <c r="D22" s="696" t="s">
        <v>882</v>
      </c>
      <c r="E22" s="703" t="s">
        <v>883</v>
      </c>
      <c r="F22" s="701" t="s">
        <v>884</v>
      </c>
      <c r="G22" s="702"/>
    </row>
    <row r="23" spans="1:7" s="233" customFormat="1" ht="15.5">
      <c r="A23" s="1002"/>
      <c r="B23" s="1004"/>
      <c r="C23" s="696" t="s">
        <v>749</v>
      </c>
      <c r="E23" s="704" t="s">
        <v>51</v>
      </c>
      <c r="F23" s="701" t="s">
        <v>885</v>
      </c>
      <c r="G23" s="702"/>
    </row>
    <row r="24" spans="1:7" s="233" customFormat="1" ht="15.5">
      <c r="A24" s="1002"/>
      <c r="B24" s="700"/>
      <c r="C24" s="696" t="s">
        <v>752</v>
      </c>
      <c r="D24" s="700"/>
      <c r="E24" s="703" t="s">
        <v>886</v>
      </c>
      <c r="F24" s="701" t="s">
        <v>887</v>
      </c>
      <c r="G24" s="702"/>
    </row>
    <row r="25" spans="1:7" s="233" customFormat="1" ht="15.5">
      <c r="A25" s="1002"/>
      <c r="B25" s="1004"/>
      <c r="C25" s="696" t="s">
        <v>753</v>
      </c>
      <c r="D25" s="1004"/>
      <c r="E25" s="697" t="s">
        <v>34</v>
      </c>
      <c r="F25" s="701" t="s">
        <v>888</v>
      </c>
      <c r="G25" s="702"/>
    </row>
    <row r="26" spans="1:7" s="233" customFormat="1" ht="15.5">
      <c r="A26" s="1002"/>
      <c r="B26" s="1004"/>
      <c r="C26" s="696" t="s">
        <v>54</v>
      </c>
      <c r="D26" s="1004"/>
      <c r="E26" s="697" t="s">
        <v>889</v>
      </c>
      <c r="F26" s="701" t="s">
        <v>890</v>
      </c>
      <c r="G26" s="702"/>
    </row>
    <row r="27" spans="1:7" s="233" customFormat="1" ht="15.5">
      <c r="A27" s="1002"/>
      <c r="B27" s="700"/>
      <c r="C27" s="696" t="s">
        <v>750</v>
      </c>
      <c r="D27" s="700"/>
      <c r="E27" s="697" t="s">
        <v>891</v>
      </c>
      <c r="F27" s="701" t="s">
        <v>892</v>
      </c>
      <c r="G27" s="702"/>
    </row>
    <row r="28" spans="1:7" s="233" customFormat="1" ht="15.5">
      <c r="A28" s="1002"/>
      <c r="B28" s="700"/>
      <c r="C28" s="696" t="s">
        <v>893</v>
      </c>
      <c r="D28" s="700"/>
      <c r="E28" s="697" t="s">
        <v>894</v>
      </c>
      <c r="F28" s="701" t="s">
        <v>895</v>
      </c>
      <c r="G28" s="702"/>
    </row>
    <row r="29" spans="1:7" s="233" customFormat="1" ht="15.5">
      <c r="A29" s="1002"/>
      <c r="B29" s="700"/>
      <c r="C29" s="696" t="s">
        <v>754</v>
      </c>
      <c r="D29" s="700"/>
      <c r="E29" s="703" t="s">
        <v>896</v>
      </c>
      <c r="F29" s="701" t="s">
        <v>897</v>
      </c>
      <c r="G29" s="702"/>
    </row>
    <row r="30" spans="1:7" s="233" customFormat="1" ht="15.5">
      <c r="A30" s="1002"/>
      <c r="B30" s="700"/>
      <c r="C30" s="696" t="s">
        <v>755</v>
      </c>
      <c r="D30" s="700"/>
      <c r="E30" s="697" t="s">
        <v>898</v>
      </c>
      <c r="F30" s="701" t="s">
        <v>899</v>
      </c>
      <c r="G30" s="702"/>
    </row>
    <row r="31" spans="1:7" s="233" customFormat="1" ht="15.5">
      <c r="A31" s="1002"/>
      <c r="B31" s="1004"/>
      <c r="C31" s="696" t="s">
        <v>758</v>
      </c>
      <c r="D31" s="1004"/>
      <c r="E31" s="697" t="s">
        <v>900</v>
      </c>
      <c r="F31" s="696" t="s">
        <v>901</v>
      </c>
      <c r="G31" s="697"/>
    </row>
    <row r="32" spans="1:7" s="233" customFormat="1" ht="15.5">
      <c r="A32" s="1002"/>
      <c r="B32" s="1004"/>
      <c r="C32" s="696" t="s">
        <v>756</v>
      </c>
      <c r="D32" s="1004"/>
      <c r="E32" s="697" t="s">
        <v>902</v>
      </c>
      <c r="F32" s="701" t="s">
        <v>903</v>
      </c>
      <c r="G32" s="702"/>
    </row>
    <row r="33" spans="1:9" s="233" customFormat="1" ht="15.5">
      <c r="A33" s="1002"/>
      <c r="B33" s="700"/>
      <c r="C33" s="696" t="s">
        <v>757</v>
      </c>
      <c r="D33" s="700"/>
      <c r="E33" s="697" t="s">
        <v>904</v>
      </c>
      <c r="F33" s="701" t="s">
        <v>905</v>
      </c>
      <c r="G33" s="702"/>
    </row>
    <row r="34" spans="1:9" s="233" customFormat="1" ht="15.5">
      <c r="A34" s="1002"/>
      <c r="B34" s="700"/>
      <c r="C34" s="696" t="s">
        <v>759</v>
      </c>
      <c r="D34" s="700"/>
      <c r="E34" s="697" t="s">
        <v>906</v>
      </c>
      <c r="F34" s="701" t="s">
        <v>907</v>
      </c>
      <c r="G34" s="702"/>
    </row>
    <row r="35" spans="1:9" s="233" customFormat="1" ht="15.5">
      <c r="A35" s="1002"/>
      <c r="B35" s="700"/>
      <c r="C35" s="696" t="s">
        <v>56</v>
      </c>
      <c r="D35" s="700"/>
      <c r="E35" s="697" t="s">
        <v>246</v>
      </c>
      <c r="F35" s="701" t="s">
        <v>60</v>
      </c>
      <c r="G35" s="702"/>
    </row>
    <row r="36" spans="1:9" s="233" customFormat="1" ht="15.5">
      <c r="A36" s="1002"/>
      <c r="B36" s="700"/>
      <c r="C36" s="696" t="s">
        <v>57</v>
      </c>
      <c r="D36" s="700"/>
      <c r="E36" s="697" t="s">
        <v>908</v>
      </c>
      <c r="F36" s="701" t="s">
        <v>909</v>
      </c>
      <c r="G36" s="702"/>
    </row>
    <row r="37" spans="1:9" s="233" customFormat="1" ht="15.5">
      <c r="A37" s="1002"/>
      <c r="B37" s="700"/>
      <c r="C37" s="705" t="s">
        <v>910</v>
      </c>
      <c r="D37" s="700"/>
      <c r="E37" s="697" t="s">
        <v>911</v>
      </c>
      <c r="F37" s="701" t="s">
        <v>912</v>
      </c>
      <c r="G37" s="702"/>
    </row>
    <row r="38" spans="1:9" s="233" customFormat="1" ht="15.5">
      <c r="A38" s="1002"/>
      <c r="B38" s="700"/>
      <c r="C38" s="696" t="s">
        <v>762</v>
      </c>
      <c r="D38" s="700"/>
      <c r="E38" s="697" t="s">
        <v>913</v>
      </c>
      <c r="F38" s="701" t="s">
        <v>914</v>
      </c>
      <c r="G38" s="702"/>
    </row>
    <row r="39" spans="1:9" s="233" customFormat="1" ht="15.5">
      <c r="A39" s="1002"/>
      <c r="B39" s="700"/>
      <c r="C39" s="696" t="s">
        <v>761</v>
      </c>
      <c r="D39" s="700"/>
      <c r="E39" s="697" t="s">
        <v>915</v>
      </c>
      <c r="F39" s="701" t="s">
        <v>916</v>
      </c>
      <c r="G39" s="702"/>
    </row>
    <row r="40" spans="1:9" s="233" customFormat="1" ht="15.5">
      <c r="A40" s="1002"/>
      <c r="B40" s="1004"/>
      <c r="C40" s="696" t="s">
        <v>751</v>
      </c>
      <c r="D40" s="1004"/>
      <c r="E40" s="697" t="s">
        <v>917</v>
      </c>
      <c r="F40" s="701" t="s">
        <v>918</v>
      </c>
      <c r="G40" s="702"/>
    </row>
    <row r="41" spans="1:9" s="233" customFormat="1" ht="15.5">
      <c r="A41" s="1002"/>
      <c r="B41" s="1004"/>
      <c r="C41" s="696" t="s">
        <v>69</v>
      </c>
      <c r="D41" s="1004"/>
      <c r="E41" s="697" t="s">
        <v>919</v>
      </c>
      <c r="F41" s="701" t="s">
        <v>920</v>
      </c>
      <c r="G41" s="702"/>
    </row>
    <row r="42" spans="1:9" s="233" customFormat="1" ht="16" thickBot="1">
      <c r="A42" s="1003"/>
      <c r="B42" s="706"/>
      <c r="C42" s="707" t="s">
        <v>921</v>
      </c>
      <c r="D42" s="708"/>
      <c r="E42" s="709"/>
      <c r="F42" s="710"/>
    </row>
    <row r="43" spans="1:9" s="233" customFormat="1" ht="14.5" customHeight="1">
      <c r="A43" s="997" t="s">
        <v>922</v>
      </c>
      <c r="B43" s="997"/>
      <c r="C43" s="997"/>
      <c r="D43" s="997"/>
      <c r="E43" s="997"/>
      <c r="F43" s="997"/>
      <c r="G43" s="711"/>
    </row>
    <row r="44" spans="1:9" s="233" customFormat="1" ht="15.5">
      <c r="A44" s="998" t="s">
        <v>923</v>
      </c>
      <c r="B44" s="998"/>
      <c r="C44" s="998"/>
      <c r="D44" s="998"/>
      <c r="E44" s="998"/>
      <c r="F44" s="998"/>
    </row>
    <row r="46" spans="1:9" ht="16" thickBot="1">
      <c r="A46" s="712"/>
      <c r="B46" s="713"/>
      <c r="C46" s="713"/>
      <c r="D46" s="713"/>
      <c r="H46" s="233"/>
    </row>
    <row r="47" spans="1:9" ht="16" thickBot="1">
      <c r="A47" s="714" t="s">
        <v>424</v>
      </c>
      <c r="B47" s="715" t="s">
        <v>924</v>
      </c>
      <c r="C47" s="692"/>
      <c r="H47" s="192"/>
      <c r="I47" s="693"/>
    </row>
    <row r="48" spans="1:9">
      <c r="A48" s="716" t="s">
        <v>425</v>
      </c>
      <c r="B48" s="717">
        <v>0</v>
      </c>
      <c r="C48" s="692"/>
      <c r="H48" s="192"/>
      <c r="I48" s="693"/>
    </row>
    <row r="49" spans="1:9">
      <c r="A49" s="718" t="s">
        <v>426</v>
      </c>
      <c r="B49" s="719">
        <v>0.1</v>
      </c>
      <c r="C49" s="692"/>
      <c r="H49" s="192"/>
      <c r="I49" s="693"/>
    </row>
    <row r="50" spans="1:9">
      <c r="A50" s="718" t="s">
        <v>427</v>
      </c>
      <c r="B50" s="719">
        <v>0.2</v>
      </c>
      <c r="C50" s="692"/>
      <c r="H50" s="192"/>
      <c r="I50" s="693"/>
    </row>
    <row r="51" spans="1:9">
      <c r="A51" s="718" t="s">
        <v>428</v>
      </c>
      <c r="B51" s="719">
        <v>0.1</v>
      </c>
      <c r="C51" s="692"/>
      <c r="H51" s="192"/>
      <c r="I51" s="693"/>
    </row>
    <row r="52" spans="1:9" ht="15" thickBot="1">
      <c r="A52" s="720" t="s">
        <v>429</v>
      </c>
      <c r="B52" s="721">
        <v>0.2</v>
      </c>
      <c r="C52" s="692"/>
      <c r="H52" s="192"/>
      <c r="I52" s="693"/>
    </row>
    <row r="53" spans="1:9" ht="16" thickBot="1">
      <c r="H53" s="233"/>
    </row>
    <row r="54" spans="1:9" ht="16" thickBot="1">
      <c r="A54" s="1008" t="s">
        <v>925</v>
      </c>
      <c r="B54" s="1009"/>
      <c r="C54" s="1010"/>
      <c r="D54" s="715"/>
      <c r="F54" s="233"/>
    </row>
    <row r="55" spans="1:9" ht="15.5">
      <c r="A55" s="1011" t="s">
        <v>926</v>
      </c>
      <c r="B55" s="1012"/>
      <c r="C55" s="1013"/>
      <c r="D55" s="722" t="s">
        <v>927</v>
      </c>
      <c r="E55" s="723"/>
      <c r="G55" s="233"/>
    </row>
    <row r="56" spans="1:9" ht="15.5">
      <c r="A56" s="1014" t="s">
        <v>928</v>
      </c>
      <c r="B56" s="1015"/>
      <c r="C56" s="1016"/>
      <c r="D56" s="724" t="s">
        <v>929</v>
      </c>
      <c r="G56" s="233"/>
    </row>
    <row r="57" spans="1:9" ht="15.5">
      <c r="A57" s="1005" t="s">
        <v>930</v>
      </c>
      <c r="B57" s="1006"/>
      <c r="C57" s="1007"/>
      <c r="D57" s="726" t="s">
        <v>931</v>
      </c>
      <c r="E57" s="233"/>
    </row>
    <row r="58" spans="1:9" ht="15.5">
      <c r="A58" s="1020" t="s">
        <v>932</v>
      </c>
      <c r="B58" s="1021"/>
      <c r="C58" s="1022"/>
      <c r="D58" s="729" t="s">
        <v>933</v>
      </c>
      <c r="E58" s="233"/>
    </row>
    <row r="59" spans="1:9" ht="15.5">
      <c r="A59" s="1020" t="s">
        <v>934</v>
      </c>
      <c r="B59" s="1021"/>
      <c r="C59" s="1022"/>
      <c r="D59" s="730" t="s">
        <v>935</v>
      </c>
      <c r="E59" s="233"/>
    </row>
    <row r="60" spans="1:9" ht="15.5">
      <c r="A60" s="718" t="s">
        <v>936</v>
      </c>
      <c r="B60" s="727"/>
      <c r="C60" s="728"/>
      <c r="D60" s="722" t="s">
        <v>937</v>
      </c>
      <c r="E60" s="233"/>
    </row>
    <row r="61" spans="1:9" ht="15.5">
      <c r="A61" s="1023" t="s">
        <v>938</v>
      </c>
      <c r="B61" s="1024"/>
      <c r="C61" s="1025"/>
      <c r="D61" s="731" t="s">
        <v>939</v>
      </c>
      <c r="E61" s="233"/>
    </row>
    <row r="62" spans="1:9" ht="15.5">
      <c r="A62" s="1026" t="s">
        <v>940</v>
      </c>
      <c r="B62" s="1027"/>
      <c r="C62" s="1028"/>
      <c r="D62" s="732" t="s">
        <v>940</v>
      </c>
      <c r="E62" s="233"/>
    </row>
    <row r="63" spans="1:9" ht="15.5">
      <c r="A63" s="1026" t="s">
        <v>941</v>
      </c>
      <c r="B63" s="1027"/>
      <c r="C63" s="1028"/>
      <c r="D63" s="732" t="s">
        <v>942</v>
      </c>
      <c r="E63" s="233"/>
    </row>
    <row r="64" spans="1:9" ht="15.5">
      <c r="A64" s="1026" t="s">
        <v>943</v>
      </c>
      <c r="B64" s="1027"/>
      <c r="C64" s="1028"/>
      <c r="D64" s="733" t="s">
        <v>944</v>
      </c>
      <c r="F64" s="233"/>
    </row>
    <row r="65" spans="1:8" ht="16" thickBot="1">
      <c r="A65" s="1017" t="s">
        <v>945</v>
      </c>
      <c r="B65" s="1018"/>
      <c r="C65" s="1018"/>
      <c r="D65" s="1019"/>
      <c r="F65" s="233"/>
    </row>
    <row r="66" spans="1:8" ht="15.5">
      <c r="H66" s="233"/>
    </row>
    <row r="67" spans="1:8" ht="15.5">
      <c r="H67" s="233"/>
    </row>
    <row r="68" spans="1:8" ht="15.5">
      <c r="H68" s="233"/>
    </row>
    <row r="69" spans="1:8" ht="15.5">
      <c r="H69" s="233"/>
    </row>
    <row r="70" spans="1:8" ht="15.5">
      <c r="H70" s="233"/>
    </row>
    <row r="71" spans="1:8" ht="15.5">
      <c r="H71" s="233"/>
    </row>
    <row r="72" spans="1:8" ht="15.5">
      <c r="H72" s="233"/>
    </row>
    <row r="73" spans="1:8" ht="15.5">
      <c r="H73" s="233"/>
    </row>
    <row r="74" spans="1:8" ht="15.5">
      <c r="H74" s="233"/>
    </row>
    <row r="75" spans="1:8" ht="15.5">
      <c r="H75" s="233"/>
    </row>
    <row r="76" spans="1:8" ht="15.5">
      <c r="H76" s="233"/>
    </row>
    <row r="77" spans="1:8" ht="15.5">
      <c r="H77" s="233"/>
    </row>
    <row r="78" spans="1:8" ht="15.5">
      <c r="H78" s="233"/>
    </row>
    <row r="79" spans="1:8" ht="15.5">
      <c r="H79" s="233"/>
    </row>
    <row r="80" spans="1:8" ht="15.5">
      <c r="H80" s="233"/>
    </row>
    <row r="81" spans="8:8" ht="15.5">
      <c r="H81" s="233"/>
    </row>
    <row r="82" spans="8:8" ht="15.5">
      <c r="H82" s="233"/>
    </row>
    <row r="83" spans="8:8" ht="15.5">
      <c r="H83" s="233"/>
    </row>
    <row r="84" spans="8:8" ht="15.5">
      <c r="H84" s="233"/>
    </row>
    <row r="85" spans="8:8" ht="15.5">
      <c r="H85" s="233"/>
    </row>
    <row r="86" spans="8:8" ht="15.5">
      <c r="H86" s="233"/>
    </row>
    <row r="87" spans="8:8" ht="15.5">
      <c r="H87" s="233"/>
    </row>
    <row r="88" spans="8:8" ht="15.5">
      <c r="H88" s="233"/>
    </row>
    <row r="89" spans="8:8" ht="15.5">
      <c r="H89" s="233"/>
    </row>
    <row r="90" spans="8:8" ht="15.5">
      <c r="H90" s="233"/>
    </row>
    <row r="91" spans="8:8" ht="15.5">
      <c r="H91" s="233"/>
    </row>
    <row r="92" spans="8:8" ht="15.5">
      <c r="H92" s="233"/>
    </row>
    <row r="93" spans="8:8" ht="15.5">
      <c r="H93" s="233"/>
    </row>
    <row r="94" spans="8:8" ht="15.5">
      <c r="H94" s="233"/>
    </row>
    <row r="95" spans="8:8" ht="15.5">
      <c r="H95" s="233"/>
    </row>
    <row r="96" spans="8:8" ht="15.5">
      <c r="H96" s="233"/>
    </row>
    <row r="97" spans="8:8" ht="15.5">
      <c r="H97" s="233"/>
    </row>
    <row r="98" spans="8:8" ht="15.5">
      <c r="H98" s="233"/>
    </row>
    <row r="99" spans="8:8" ht="15.5">
      <c r="H99" s="233"/>
    </row>
    <row r="100" spans="8:8" ht="15.5">
      <c r="H100" s="233"/>
    </row>
    <row r="101" spans="8:8" ht="15.5">
      <c r="H101" s="233"/>
    </row>
    <row r="102" spans="8:8" ht="15.5">
      <c r="H102" s="233"/>
    </row>
    <row r="103" spans="8:8" ht="15.5">
      <c r="H103" s="233"/>
    </row>
    <row r="104" spans="8:8" ht="15.5">
      <c r="H104" s="233"/>
    </row>
    <row r="105" spans="8:8" ht="15.5">
      <c r="H105" s="233"/>
    </row>
    <row r="106" spans="8:8" ht="15.5">
      <c r="H106" s="233"/>
    </row>
    <row r="107" spans="8:8" ht="15.5">
      <c r="H107" s="233"/>
    </row>
    <row r="108" spans="8:8" ht="15.5">
      <c r="H108" s="233"/>
    </row>
    <row r="109" spans="8:8" ht="15.5">
      <c r="H109" s="233"/>
    </row>
    <row r="110" spans="8:8" ht="15.5">
      <c r="H110" s="233"/>
    </row>
    <row r="111" spans="8:8" ht="15.5">
      <c r="H111" s="233"/>
    </row>
    <row r="112" spans="8:8" ht="15.5">
      <c r="H112" s="233"/>
    </row>
    <row r="113" spans="8:8" ht="15.5">
      <c r="H113" s="233"/>
    </row>
    <row r="114" spans="8:8" ht="15.5">
      <c r="H114" s="233"/>
    </row>
    <row r="115" spans="8:8" ht="15.5">
      <c r="H115" s="233"/>
    </row>
  </sheetData>
  <dataConsolidate link="1"/>
  <mergeCells count="45">
    <mergeCell ref="A56:C56"/>
    <mergeCell ref="A65:D65"/>
    <mergeCell ref="A58:C58"/>
    <mergeCell ref="A59:C59"/>
    <mergeCell ref="A61:C61"/>
    <mergeCell ref="A62:C62"/>
    <mergeCell ref="A63:C63"/>
    <mergeCell ref="A64:C64"/>
    <mergeCell ref="N6:N12"/>
    <mergeCell ref="A57:C57"/>
    <mergeCell ref="A14:F14"/>
    <mergeCell ref="E15:F15"/>
    <mergeCell ref="A16:A42"/>
    <mergeCell ref="B22:B23"/>
    <mergeCell ref="B25:B26"/>
    <mergeCell ref="D25:D26"/>
    <mergeCell ref="B31:B32"/>
    <mergeCell ref="D31:D32"/>
    <mergeCell ref="B40:B41"/>
    <mergeCell ref="D40:D41"/>
    <mergeCell ref="A43:F43"/>
    <mergeCell ref="A44:F44"/>
    <mergeCell ref="A54:C54"/>
    <mergeCell ref="A55:C55"/>
    <mergeCell ref="L6:L12"/>
    <mergeCell ref="M6:M12"/>
    <mergeCell ref="I6:I12"/>
    <mergeCell ref="F12:G12"/>
    <mergeCell ref="H8:H12"/>
    <mergeCell ref="B6:B8"/>
    <mergeCell ref="C6:C9"/>
    <mergeCell ref="D6:D12"/>
    <mergeCell ref="E6:E12"/>
    <mergeCell ref="A2:N2"/>
    <mergeCell ref="A3:A5"/>
    <mergeCell ref="B3:B5"/>
    <mergeCell ref="D3:D5"/>
    <mergeCell ref="E3:E5"/>
    <mergeCell ref="F3:G5"/>
    <mergeCell ref="H3:I4"/>
    <mergeCell ref="J3:N3"/>
    <mergeCell ref="J4:N4"/>
    <mergeCell ref="F6:G11"/>
    <mergeCell ref="J6:J12"/>
    <mergeCell ref="K6:K12"/>
  </mergeCells>
  <hyperlinks>
    <hyperlink ref="D56" r:id="rId1" xr:uid="{C83FB472-9EAC-43A8-8295-41AA060EF49B}"/>
    <hyperlink ref="D57" r:id="rId2" xr:uid="{9E5B435F-AC3A-4A0A-B8BB-EEEE328BA8D5}"/>
    <hyperlink ref="D63" r:id="rId3" xr:uid="{E2D32442-F93E-4C21-AD35-F6CF4BBABEB8}"/>
    <hyperlink ref="D62" r:id="rId4" xr:uid="{70C7A379-6E73-46F7-93FB-1C9A3D2C8AFF}"/>
    <hyperlink ref="D61" r:id="rId5" xr:uid="{6056FA3B-C607-4F89-82FE-08ABFD1A50F7}"/>
    <hyperlink ref="D58" r:id="rId6" xr:uid="{4A1CD0B8-7966-48C3-BAC0-BD4103E7106F}"/>
    <hyperlink ref="D55" r:id="rId7" xr:uid="{54B06156-87A3-4C7F-B043-21C7C1DAB073}"/>
    <hyperlink ref="D60" r:id="rId8" xr:uid="{5A78FF87-974A-42CC-9F16-BAFCE293E372}"/>
    <hyperlink ref="D64" r:id="rId9" xr:uid="{8DF6C075-0FA6-4471-BDD5-C68F80E9B26F}"/>
    <hyperlink ref="D59" r:id="rId10" xr:uid="{4EBE4800-8A59-4D04-B87B-53584352096C}"/>
  </hyperlinks>
  <pageMargins left="0.7" right="0.7" top="0.75" bottom="0.75" header="0.3" footer="0.3"/>
  <pageSetup paperSize="5" scale="28" orientation="landscape" horizontalDpi="300" verticalDpi="300" r:id="rId11"/>
  <legacyDrawing r:id="rId1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836AE-16B6-4C7C-B386-CF3310E649E0}">
  <dimension ref="B1:G71"/>
  <sheetViews>
    <sheetView zoomScale="101" workbookViewId="0">
      <selection activeCell="C23" sqref="C23"/>
    </sheetView>
  </sheetViews>
  <sheetFormatPr defaultColWidth="8.58203125" defaultRowHeight="15.5"/>
  <cols>
    <col min="1" max="1" width="8.58203125" style="233"/>
    <col min="2" max="2" width="15.08203125" style="233" bestFit="1" customWidth="1"/>
    <col min="3" max="4" width="8.58203125" style="233"/>
    <col min="5" max="5" width="25.08203125" style="233" bestFit="1" customWidth="1"/>
    <col min="6" max="6" width="9.83203125" style="233" bestFit="1" customWidth="1"/>
    <col min="7" max="16384" width="8.58203125" style="233"/>
  </cols>
  <sheetData>
    <row r="1" spans="2:7" ht="16" thickBot="1">
      <c r="B1" s="734" t="s">
        <v>946</v>
      </c>
      <c r="C1" s="735" t="s">
        <v>801</v>
      </c>
      <c r="D1" s="735" t="s">
        <v>947</v>
      </c>
      <c r="E1" s="735" t="s">
        <v>803</v>
      </c>
      <c r="F1" s="736" t="s">
        <v>948</v>
      </c>
    </row>
    <row r="2" spans="2:7">
      <c r="B2" s="737" t="s">
        <v>800</v>
      </c>
      <c r="C2" s="738" t="s">
        <v>845</v>
      </c>
      <c r="D2" s="738" t="s">
        <v>815</v>
      </c>
      <c r="E2" s="738" t="str">
        <f t="shared" ref="E2:E65" si="0">B2&amp;C2&amp;D2</f>
        <v>WineNCUSMA</v>
      </c>
      <c r="F2" s="739">
        <f>('14 LCBO'!A107)</f>
        <v>1.8700000000000001E-2</v>
      </c>
      <c r="G2" s="740"/>
    </row>
    <row r="3" spans="2:7">
      <c r="B3" s="741" t="s">
        <v>814</v>
      </c>
      <c r="C3" s="742" t="s">
        <v>845</v>
      </c>
      <c r="D3" s="742" t="s">
        <v>815</v>
      </c>
      <c r="E3" s="742" t="str">
        <f t="shared" si="0"/>
        <v>SparklingNCUSMA</v>
      </c>
      <c r="F3" s="743">
        <v>0</v>
      </c>
    </row>
    <row r="4" spans="2:7">
      <c r="B4" s="741" t="s">
        <v>813</v>
      </c>
      <c r="C4" s="742" t="s">
        <v>845</v>
      </c>
      <c r="D4" s="742" t="s">
        <v>815</v>
      </c>
      <c r="E4" s="742" t="str">
        <f t="shared" si="0"/>
        <v>SakeNCUSMA</v>
      </c>
      <c r="F4" s="743">
        <f>'14 LCBO'!A151</f>
        <v>2.8199999999999999E-2</v>
      </c>
    </row>
    <row r="5" spans="2:7">
      <c r="B5" s="741" t="s">
        <v>811</v>
      </c>
      <c r="C5" s="742" t="s">
        <v>845</v>
      </c>
      <c r="D5" s="742" t="s">
        <v>815</v>
      </c>
      <c r="E5" s="742" t="str">
        <f t="shared" si="0"/>
        <v>Light WineNCUSMA</v>
      </c>
      <c r="F5" s="743">
        <v>0</v>
      </c>
    </row>
    <row r="6" spans="2:7">
      <c r="B6" s="741" t="s">
        <v>420</v>
      </c>
      <c r="C6" s="742" t="s">
        <v>845</v>
      </c>
      <c r="D6" s="742" t="s">
        <v>815</v>
      </c>
      <c r="E6" s="742" t="str">
        <f t="shared" si="0"/>
        <v>FortifiedNCUSMA</v>
      </c>
      <c r="F6" s="743">
        <v>0</v>
      </c>
    </row>
    <row r="7" spans="2:7">
      <c r="B7" s="744" t="s">
        <v>812</v>
      </c>
      <c r="C7" s="742" t="s">
        <v>845</v>
      </c>
      <c r="D7" s="742" t="s">
        <v>815</v>
      </c>
      <c r="E7" s="742" t="str">
        <f t="shared" si="0"/>
        <v>Fortified &gt;= 20.1%NCUSMA</v>
      </c>
      <c r="F7" s="743">
        <v>0</v>
      </c>
    </row>
    <row r="8" spans="2:7" ht="16" thickBot="1">
      <c r="B8" s="741" t="s">
        <v>421</v>
      </c>
      <c r="C8" s="742" t="s">
        <v>845</v>
      </c>
      <c r="D8" s="742" t="s">
        <v>815</v>
      </c>
      <c r="E8" s="742" t="str">
        <f t="shared" si="0"/>
        <v>FlavouredNCUSMA</v>
      </c>
      <c r="F8" s="743">
        <f>'14 LCBO'!A169</f>
        <v>0</v>
      </c>
    </row>
    <row r="9" spans="2:7">
      <c r="B9" s="741" t="s">
        <v>800</v>
      </c>
      <c r="C9" s="742" t="s">
        <v>845</v>
      </c>
      <c r="D9" s="742" t="s">
        <v>423</v>
      </c>
      <c r="E9" s="742" t="str">
        <f t="shared" si="0"/>
        <v>WineNEU/CETA</v>
      </c>
      <c r="F9" s="739">
        <f>('14 LCBO'!A107)</f>
        <v>1.8700000000000001E-2</v>
      </c>
    </row>
    <row r="10" spans="2:7">
      <c r="B10" s="741" t="s">
        <v>814</v>
      </c>
      <c r="C10" s="742" t="s">
        <v>845</v>
      </c>
      <c r="D10" s="742" t="s">
        <v>423</v>
      </c>
      <c r="E10" s="742" t="str">
        <f t="shared" si="0"/>
        <v>SparklingNEU/CETA</v>
      </c>
      <c r="F10" s="743">
        <v>0</v>
      </c>
    </row>
    <row r="11" spans="2:7">
      <c r="B11" s="741" t="s">
        <v>813</v>
      </c>
      <c r="C11" s="742" t="s">
        <v>845</v>
      </c>
      <c r="D11" s="742" t="s">
        <v>423</v>
      </c>
      <c r="E11" s="742" t="str">
        <f t="shared" si="0"/>
        <v>SakeNEU/CETA</v>
      </c>
      <c r="F11" s="743">
        <f>'14 LCBO'!A151</f>
        <v>2.8199999999999999E-2</v>
      </c>
    </row>
    <row r="12" spans="2:7">
      <c r="B12" s="741" t="s">
        <v>811</v>
      </c>
      <c r="C12" s="742" t="s">
        <v>845</v>
      </c>
      <c r="D12" s="742" t="s">
        <v>423</v>
      </c>
      <c r="E12" s="742" t="str">
        <f t="shared" si="0"/>
        <v>Light WineNEU/CETA</v>
      </c>
      <c r="F12" s="743">
        <v>0</v>
      </c>
    </row>
    <row r="13" spans="2:7">
      <c r="B13" s="741" t="s">
        <v>420</v>
      </c>
      <c r="C13" s="742" t="s">
        <v>845</v>
      </c>
      <c r="D13" s="742" t="s">
        <v>423</v>
      </c>
      <c r="E13" s="742" t="str">
        <f t="shared" si="0"/>
        <v>FortifiedNEU/CETA</v>
      </c>
      <c r="F13" s="743">
        <v>0</v>
      </c>
    </row>
    <row r="14" spans="2:7">
      <c r="B14" s="744" t="s">
        <v>812</v>
      </c>
      <c r="C14" s="742" t="s">
        <v>845</v>
      </c>
      <c r="D14" s="742" t="s">
        <v>423</v>
      </c>
      <c r="E14" s="742" t="str">
        <f t="shared" si="0"/>
        <v>Fortified &gt;= 20.1%NEU/CETA</v>
      </c>
      <c r="F14" s="743">
        <v>0</v>
      </c>
    </row>
    <row r="15" spans="2:7" ht="16" thickBot="1">
      <c r="B15" s="741" t="s">
        <v>421</v>
      </c>
      <c r="C15" s="742" t="s">
        <v>845</v>
      </c>
      <c r="D15" s="742" t="s">
        <v>423</v>
      </c>
      <c r="E15" s="742" t="str">
        <f t="shared" si="0"/>
        <v>FlavouredNEU/CETA</v>
      </c>
      <c r="F15" s="743">
        <v>0</v>
      </c>
    </row>
    <row r="16" spans="2:7">
      <c r="B16" s="741" t="s">
        <v>800</v>
      </c>
      <c r="C16" s="742" t="s">
        <v>845</v>
      </c>
      <c r="D16" s="742" t="s">
        <v>805</v>
      </c>
      <c r="E16" s="742" t="str">
        <f t="shared" si="0"/>
        <v>WineNCPTPP</v>
      </c>
      <c r="F16" s="739">
        <f>('14 LCBO'!A107)</f>
        <v>1.8700000000000001E-2</v>
      </c>
    </row>
    <row r="17" spans="2:6">
      <c r="B17" s="741" t="s">
        <v>814</v>
      </c>
      <c r="C17" s="742" t="s">
        <v>845</v>
      </c>
      <c r="D17" s="742" t="s">
        <v>805</v>
      </c>
      <c r="E17" s="742" t="str">
        <f t="shared" si="0"/>
        <v>SparklingNCPTPP</v>
      </c>
      <c r="F17" s="743">
        <v>0</v>
      </c>
    </row>
    <row r="18" spans="2:6">
      <c r="B18" s="741" t="s">
        <v>813</v>
      </c>
      <c r="C18" s="742" t="s">
        <v>845</v>
      </c>
      <c r="D18" s="742" t="s">
        <v>805</v>
      </c>
      <c r="E18" s="742" t="str">
        <f t="shared" si="0"/>
        <v>SakeNCPTPP</v>
      </c>
      <c r="F18" s="743">
        <f>'14 LCBO'!A151</f>
        <v>2.8199999999999999E-2</v>
      </c>
    </row>
    <row r="19" spans="2:6">
      <c r="B19" s="741" t="s">
        <v>811</v>
      </c>
      <c r="C19" s="742" t="s">
        <v>845</v>
      </c>
      <c r="D19" s="742" t="s">
        <v>805</v>
      </c>
      <c r="E19" s="742" t="str">
        <f t="shared" si="0"/>
        <v>Light WineNCPTPP</v>
      </c>
      <c r="F19" s="743">
        <v>0</v>
      </c>
    </row>
    <row r="20" spans="2:6">
      <c r="B20" s="741" t="s">
        <v>420</v>
      </c>
      <c r="C20" s="742" t="s">
        <v>845</v>
      </c>
      <c r="D20" s="742" t="s">
        <v>805</v>
      </c>
      <c r="E20" s="742" t="str">
        <f t="shared" si="0"/>
        <v>FortifiedNCPTPP</v>
      </c>
      <c r="F20" s="743">
        <v>0</v>
      </c>
    </row>
    <row r="21" spans="2:6">
      <c r="B21" s="744" t="s">
        <v>812</v>
      </c>
      <c r="C21" s="742" t="s">
        <v>845</v>
      </c>
      <c r="D21" s="742" t="s">
        <v>805</v>
      </c>
      <c r="E21" s="742" t="str">
        <f t="shared" si="0"/>
        <v>Fortified &gt;= 20.1%NCPTPP</v>
      </c>
      <c r="F21" s="743">
        <v>0</v>
      </c>
    </row>
    <row r="22" spans="2:6" ht="16" thickBot="1">
      <c r="B22" s="741" t="s">
        <v>421</v>
      </c>
      <c r="C22" s="742" t="s">
        <v>845</v>
      </c>
      <c r="D22" s="742" t="s">
        <v>805</v>
      </c>
      <c r="E22" s="742" t="str">
        <f t="shared" si="0"/>
        <v>FlavouredNCPTPP</v>
      </c>
      <c r="F22" s="743">
        <v>0</v>
      </c>
    </row>
    <row r="23" spans="2:6">
      <c r="B23" s="741" t="s">
        <v>800</v>
      </c>
      <c r="C23" s="742" t="s">
        <v>845</v>
      </c>
      <c r="D23" s="742" t="s">
        <v>61</v>
      </c>
      <c r="E23" s="742" t="str">
        <f t="shared" si="0"/>
        <v>WineNOther</v>
      </c>
      <c r="F23" s="739">
        <f>('14 LCBO'!A107)</f>
        <v>1.8700000000000001E-2</v>
      </c>
    </row>
    <row r="24" spans="2:6">
      <c r="B24" s="741" t="s">
        <v>814</v>
      </c>
      <c r="C24" s="742" t="s">
        <v>845</v>
      </c>
      <c r="D24" s="742" t="s">
        <v>61</v>
      </c>
      <c r="E24" s="742" t="str">
        <f t="shared" si="0"/>
        <v>SparklingNOther</v>
      </c>
      <c r="F24" s="743">
        <v>0</v>
      </c>
    </row>
    <row r="25" spans="2:6">
      <c r="B25" s="741" t="s">
        <v>813</v>
      </c>
      <c r="C25" s="742" t="s">
        <v>845</v>
      </c>
      <c r="D25" s="742" t="s">
        <v>61</v>
      </c>
      <c r="E25" s="742" t="str">
        <f t="shared" si="0"/>
        <v>SakeNOther</v>
      </c>
      <c r="F25" s="743">
        <f>'14 LCBO'!A151</f>
        <v>2.8199999999999999E-2</v>
      </c>
    </row>
    <row r="26" spans="2:6">
      <c r="B26" s="741" t="s">
        <v>811</v>
      </c>
      <c r="C26" s="742" t="s">
        <v>845</v>
      </c>
      <c r="D26" s="742" t="s">
        <v>61</v>
      </c>
      <c r="E26" s="742" t="str">
        <f t="shared" si="0"/>
        <v>Light WineNOther</v>
      </c>
      <c r="F26" s="743">
        <v>0</v>
      </c>
    </row>
    <row r="27" spans="2:6">
      <c r="B27" s="741" t="s">
        <v>420</v>
      </c>
      <c r="C27" s="742" t="s">
        <v>845</v>
      </c>
      <c r="D27" s="742" t="s">
        <v>61</v>
      </c>
      <c r="E27" s="742" t="str">
        <f t="shared" si="0"/>
        <v>FortifiedNOther</v>
      </c>
      <c r="F27" s="743">
        <v>0</v>
      </c>
    </row>
    <row r="28" spans="2:6">
      <c r="B28" s="744" t="s">
        <v>812</v>
      </c>
      <c r="C28" s="742" t="s">
        <v>845</v>
      </c>
      <c r="D28" s="742" t="s">
        <v>61</v>
      </c>
      <c r="E28" s="742" t="str">
        <f t="shared" si="0"/>
        <v>Fortified &gt;= 20.1%NOther</v>
      </c>
      <c r="F28" s="743">
        <v>0</v>
      </c>
    </row>
    <row r="29" spans="2:6">
      <c r="B29" s="741" t="s">
        <v>421</v>
      </c>
      <c r="C29" s="742" t="s">
        <v>845</v>
      </c>
      <c r="D29" s="742" t="s">
        <v>61</v>
      </c>
      <c r="E29" s="742" t="str">
        <f t="shared" si="0"/>
        <v>FlavouredNOther</v>
      </c>
      <c r="F29" s="743">
        <v>0</v>
      </c>
    </row>
    <row r="30" spans="2:6">
      <c r="B30" s="741" t="s">
        <v>800</v>
      </c>
      <c r="C30" s="742" t="s">
        <v>845</v>
      </c>
      <c r="D30" s="742" t="s">
        <v>379</v>
      </c>
      <c r="E30" s="742" t="str">
        <f t="shared" si="0"/>
        <v>WineNDomestic</v>
      </c>
      <c r="F30" s="743">
        <v>0</v>
      </c>
    </row>
    <row r="31" spans="2:6">
      <c r="B31" s="741" t="s">
        <v>814</v>
      </c>
      <c r="C31" s="742" t="s">
        <v>845</v>
      </c>
      <c r="D31" s="742" t="s">
        <v>379</v>
      </c>
      <c r="E31" s="742" t="str">
        <f t="shared" si="0"/>
        <v>SparklingNDomestic</v>
      </c>
      <c r="F31" s="743">
        <v>0</v>
      </c>
    </row>
    <row r="32" spans="2:6">
      <c r="B32" s="741" t="s">
        <v>813</v>
      </c>
      <c r="C32" s="742" t="s">
        <v>845</v>
      </c>
      <c r="D32" s="742" t="s">
        <v>379</v>
      </c>
      <c r="E32" s="742" t="str">
        <f t="shared" si="0"/>
        <v>SakeNDomestic</v>
      </c>
      <c r="F32" s="743">
        <v>0</v>
      </c>
    </row>
    <row r="33" spans="2:6">
      <c r="B33" s="741" t="s">
        <v>811</v>
      </c>
      <c r="C33" s="742" t="s">
        <v>845</v>
      </c>
      <c r="D33" s="742" t="s">
        <v>379</v>
      </c>
      <c r="E33" s="742" t="str">
        <f t="shared" si="0"/>
        <v>Light WineNDomestic</v>
      </c>
      <c r="F33" s="743">
        <v>0</v>
      </c>
    </row>
    <row r="34" spans="2:6">
      <c r="B34" s="741" t="s">
        <v>420</v>
      </c>
      <c r="C34" s="742" t="s">
        <v>845</v>
      </c>
      <c r="D34" s="742" t="s">
        <v>379</v>
      </c>
      <c r="E34" s="742" t="str">
        <f t="shared" si="0"/>
        <v>FortifiedNDomestic</v>
      </c>
      <c r="F34" s="743">
        <v>0</v>
      </c>
    </row>
    <row r="35" spans="2:6">
      <c r="B35" s="744" t="s">
        <v>812</v>
      </c>
      <c r="C35" s="742" t="s">
        <v>845</v>
      </c>
      <c r="D35" s="742" t="s">
        <v>379</v>
      </c>
      <c r="E35" s="742" t="str">
        <f t="shared" si="0"/>
        <v>Fortified &gt;= 20.1%NDomestic</v>
      </c>
      <c r="F35" s="743">
        <v>0</v>
      </c>
    </row>
    <row r="36" spans="2:6">
      <c r="B36" s="741" t="s">
        <v>421</v>
      </c>
      <c r="C36" s="742" t="s">
        <v>845</v>
      </c>
      <c r="D36" s="742" t="s">
        <v>379</v>
      </c>
      <c r="E36" s="742" t="str">
        <f t="shared" si="0"/>
        <v>FlavouredNDomestic</v>
      </c>
      <c r="F36" s="743">
        <v>0</v>
      </c>
    </row>
    <row r="37" spans="2:6">
      <c r="B37" s="741" t="s">
        <v>800</v>
      </c>
      <c r="C37" s="742" t="s">
        <v>802</v>
      </c>
      <c r="D37" s="742" t="s">
        <v>815</v>
      </c>
      <c r="E37" s="742" t="str">
        <f t="shared" si="0"/>
        <v>WineYCUSMA</v>
      </c>
      <c r="F37" s="743">
        <v>0</v>
      </c>
    </row>
    <row r="38" spans="2:6">
      <c r="B38" s="741" t="s">
        <v>814</v>
      </c>
      <c r="C38" s="742" t="s">
        <v>802</v>
      </c>
      <c r="D38" s="742" t="s">
        <v>815</v>
      </c>
      <c r="E38" s="742" t="str">
        <f t="shared" si="0"/>
        <v>SparklingYCUSMA</v>
      </c>
      <c r="F38" s="743">
        <v>0</v>
      </c>
    </row>
    <row r="39" spans="2:6">
      <c r="B39" s="741" t="s">
        <v>813</v>
      </c>
      <c r="C39" s="742" t="s">
        <v>802</v>
      </c>
      <c r="D39" s="742" t="s">
        <v>815</v>
      </c>
      <c r="E39" s="742" t="str">
        <f t="shared" si="0"/>
        <v>SakeYCUSMA</v>
      </c>
      <c r="F39" s="743">
        <v>0</v>
      </c>
    </row>
    <row r="40" spans="2:6">
      <c r="B40" s="741" t="s">
        <v>811</v>
      </c>
      <c r="C40" s="742" t="s">
        <v>802</v>
      </c>
      <c r="D40" s="742" t="s">
        <v>815</v>
      </c>
      <c r="E40" s="742" t="str">
        <f t="shared" si="0"/>
        <v>Light WineYCUSMA</v>
      </c>
      <c r="F40" s="743">
        <v>0</v>
      </c>
    </row>
    <row r="41" spans="2:6">
      <c r="B41" s="741" t="s">
        <v>420</v>
      </c>
      <c r="C41" s="742" t="s">
        <v>802</v>
      </c>
      <c r="D41" s="742" t="s">
        <v>815</v>
      </c>
      <c r="E41" s="742" t="str">
        <f t="shared" si="0"/>
        <v>FortifiedYCUSMA</v>
      </c>
      <c r="F41" s="743">
        <v>0</v>
      </c>
    </row>
    <row r="42" spans="2:6">
      <c r="B42" s="744" t="s">
        <v>812</v>
      </c>
      <c r="C42" s="742" t="s">
        <v>802</v>
      </c>
      <c r="D42" s="742" t="s">
        <v>815</v>
      </c>
      <c r="E42" s="742" t="str">
        <f t="shared" si="0"/>
        <v>Fortified &gt;= 20.1%YCUSMA</v>
      </c>
      <c r="F42" s="743">
        <v>0</v>
      </c>
    </row>
    <row r="43" spans="2:6">
      <c r="B43" s="741" t="s">
        <v>421</v>
      </c>
      <c r="C43" s="742" t="s">
        <v>802</v>
      </c>
      <c r="D43" s="742" t="s">
        <v>815</v>
      </c>
      <c r="E43" s="742" t="str">
        <f t="shared" si="0"/>
        <v>FlavouredYCUSMA</v>
      </c>
      <c r="F43" s="743">
        <v>0</v>
      </c>
    </row>
    <row r="44" spans="2:6">
      <c r="B44" s="741" t="s">
        <v>800</v>
      </c>
      <c r="C44" s="742" t="s">
        <v>802</v>
      </c>
      <c r="D44" s="742" t="s">
        <v>423</v>
      </c>
      <c r="E44" s="742" t="str">
        <f t="shared" si="0"/>
        <v>WineYEU/CETA</v>
      </c>
      <c r="F44" s="743">
        <v>0</v>
      </c>
    </row>
    <row r="45" spans="2:6">
      <c r="B45" s="741" t="s">
        <v>814</v>
      </c>
      <c r="C45" s="742" t="s">
        <v>802</v>
      </c>
      <c r="D45" s="742" t="s">
        <v>423</v>
      </c>
      <c r="E45" s="742" t="str">
        <f t="shared" si="0"/>
        <v>SparklingYEU/CETA</v>
      </c>
      <c r="F45" s="743">
        <v>0</v>
      </c>
    </row>
    <row r="46" spans="2:6">
      <c r="B46" s="741" t="s">
        <v>813</v>
      </c>
      <c r="C46" s="742" t="s">
        <v>802</v>
      </c>
      <c r="D46" s="742" t="s">
        <v>423</v>
      </c>
      <c r="E46" s="742" t="str">
        <f t="shared" si="0"/>
        <v>SakeYEU/CETA</v>
      </c>
      <c r="F46" s="743">
        <v>0</v>
      </c>
    </row>
    <row r="47" spans="2:6">
      <c r="B47" s="741" t="s">
        <v>811</v>
      </c>
      <c r="C47" s="742" t="s">
        <v>802</v>
      </c>
      <c r="D47" s="742" t="s">
        <v>423</v>
      </c>
      <c r="E47" s="742" t="str">
        <f t="shared" si="0"/>
        <v>Light WineYEU/CETA</v>
      </c>
      <c r="F47" s="743">
        <v>0</v>
      </c>
    </row>
    <row r="48" spans="2:6">
      <c r="B48" s="741" t="s">
        <v>420</v>
      </c>
      <c r="C48" s="742" t="s">
        <v>802</v>
      </c>
      <c r="D48" s="742" t="s">
        <v>423</v>
      </c>
      <c r="E48" s="742" t="str">
        <f t="shared" si="0"/>
        <v>FortifiedYEU/CETA</v>
      </c>
      <c r="F48" s="743">
        <v>0</v>
      </c>
    </row>
    <row r="49" spans="2:6">
      <c r="B49" s="744" t="s">
        <v>812</v>
      </c>
      <c r="C49" s="742" t="s">
        <v>802</v>
      </c>
      <c r="D49" s="742" t="s">
        <v>423</v>
      </c>
      <c r="E49" s="742" t="str">
        <f t="shared" si="0"/>
        <v>Fortified &gt;= 20.1%YEU/CETA</v>
      </c>
      <c r="F49" s="743">
        <v>0</v>
      </c>
    </row>
    <row r="50" spans="2:6">
      <c r="B50" s="741" t="s">
        <v>421</v>
      </c>
      <c r="C50" s="742" t="s">
        <v>802</v>
      </c>
      <c r="D50" s="742" t="s">
        <v>423</v>
      </c>
      <c r="E50" s="742" t="str">
        <f t="shared" si="0"/>
        <v>FlavouredYEU/CETA</v>
      </c>
      <c r="F50" s="743">
        <v>0</v>
      </c>
    </row>
    <row r="51" spans="2:6">
      <c r="B51" s="741" t="s">
        <v>800</v>
      </c>
      <c r="C51" s="742" t="s">
        <v>802</v>
      </c>
      <c r="D51" s="742" t="s">
        <v>805</v>
      </c>
      <c r="E51" s="742" t="str">
        <f t="shared" si="0"/>
        <v>WineYCPTPP</v>
      </c>
      <c r="F51" s="743">
        <v>0</v>
      </c>
    </row>
    <row r="52" spans="2:6">
      <c r="B52" s="741" t="s">
        <v>814</v>
      </c>
      <c r="C52" s="742" t="s">
        <v>802</v>
      </c>
      <c r="D52" s="742" t="s">
        <v>805</v>
      </c>
      <c r="E52" s="742" t="str">
        <f t="shared" si="0"/>
        <v>SparklingYCPTPP</v>
      </c>
      <c r="F52" s="743">
        <v>0</v>
      </c>
    </row>
    <row r="53" spans="2:6">
      <c r="B53" s="741" t="s">
        <v>813</v>
      </c>
      <c r="C53" s="742" t="s">
        <v>802</v>
      </c>
      <c r="D53" s="742" t="s">
        <v>805</v>
      </c>
      <c r="E53" s="742" t="str">
        <f t="shared" si="0"/>
        <v>SakeYCPTPP</v>
      </c>
      <c r="F53" s="743">
        <v>0</v>
      </c>
    </row>
    <row r="54" spans="2:6">
      <c r="B54" s="741" t="s">
        <v>811</v>
      </c>
      <c r="C54" s="742" t="s">
        <v>802</v>
      </c>
      <c r="D54" s="742" t="s">
        <v>805</v>
      </c>
      <c r="E54" s="742" t="str">
        <f t="shared" si="0"/>
        <v>Light WineYCPTPP</v>
      </c>
      <c r="F54" s="743">
        <v>0</v>
      </c>
    </row>
    <row r="55" spans="2:6">
      <c r="B55" s="741" t="s">
        <v>420</v>
      </c>
      <c r="C55" s="742" t="s">
        <v>802</v>
      </c>
      <c r="D55" s="742" t="s">
        <v>805</v>
      </c>
      <c r="E55" s="742" t="str">
        <f t="shared" si="0"/>
        <v>FortifiedYCPTPP</v>
      </c>
      <c r="F55" s="743">
        <v>0</v>
      </c>
    </row>
    <row r="56" spans="2:6">
      <c r="B56" s="744" t="s">
        <v>812</v>
      </c>
      <c r="C56" s="742" t="s">
        <v>802</v>
      </c>
      <c r="D56" s="742" t="s">
        <v>805</v>
      </c>
      <c r="E56" s="742" t="str">
        <f t="shared" si="0"/>
        <v>Fortified &gt;= 20.1%YCPTPP</v>
      </c>
      <c r="F56" s="743">
        <v>0</v>
      </c>
    </row>
    <row r="57" spans="2:6" ht="16" thickBot="1">
      <c r="B57" s="741" t="s">
        <v>421</v>
      </c>
      <c r="C57" s="742" t="s">
        <v>802</v>
      </c>
      <c r="D57" s="742" t="s">
        <v>805</v>
      </c>
      <c r="E57" s="742" t="str">
        <f t="shared" si="0"/>
        <v>FlavouredYCPTPP</v>
      </c>
      <c r="F57" s="743">
        <v>0</v>
      </c>
    </row>
    <row r="58" spans="2:6">
      <c r="B58" s="741" t="s">
        <v>800</v>
      </c>
      <c r="C58" s="742" t="s">
        <v>802</v>
      </c>
      <c r="D58" s="742" t="s">
        <v>61</v>
      </c>
      <c r="E58" s="742" t="str">
        <f t="shared" si="0"/>
        <v>WineYOther</v>
      </c>
      <c r="F58" s="739">
        <f>('14 LCBO'!A107)</f>
        <v>1.8700000000000001E-2</v>
      </c>
    </row>
    <row r="59" spans="2:6">
      <c r="B59" s="741" t="s">
        <v>814</v>
      </c>
      <c r="C59" s="742" t="s">
        <v>802</v>
      </c>
      <c r="D59" s="742" t="s">
        <v>61</v>
      </c>
      <c r="E59" s="742" t="str">
        <f t="shared" si="0"/>
        <v>SparklingYOther</v>
      </c>
      <c r="F59" s="743">
        <v>0</v>
      </c>
    </row>
    <row r="60" spans="2:6">
      <c r="B60" s="741" t="s">
        <v>813</v>
      </c>
      <c r="C60" s="742" t="s">
        <v>802</v>
      </c>
      <c r="D60" s="742" t="s">
        <v>61</v>
      </c>
      <c r="E60" s="742" t="str">
        <f t="shared" si="0"/>
        <v>SakeYOther</v>
      </c>
      <c r="F60" s="743">
        <f>'14 LCBO'!A151</f>
        <v>2.8199999999999999E-2</v>
      </c>
    </row>
    <row r="61" spans="2:6">
      <c r="B61" s="741" t="s">
        <v>811</v>
      </c>
      <c r="C61" s="742" t="s">
        <v>802</v>
      </c>
      <c r="D61" s="742" t="s">
        <v>61</v>
      </c>
      <c r="E61" s="742" t="str">
        <f t="shared" si="0"/>
        <v>Light WineYOther</v>
      </c>
      <c r="F61" s="743">
        <v>0</v>
      </c>
    </row>
    <row r="62" spans="2:6">
      <c r="B62" s="741" t="s">
        <v>420</v>
      </c>
      <c r="C62" s="742" t="s">
        <v>802</v>
      </c>
      <c r="D62" s="742" t="s">
        <v>61</v>
      </c>
      <c r="E62" s="742" t="str">
        <f t="shared" si="0"/>
        <v>FortifiedYOther</v>
      </c>
      <c r="F62" s="743">
        <v>0</v>
      </c>
    </row>
    <row r="63" spans="2:6">
      <c r="B63" s="744" t="s">
        <v>812</v>
      </c>
      <c r="C63" s="742" t="s">
        <v>802</v>
      </c>
      <c r="D63" s="742" t="s">
        <v>61</v>
      </c>
      <c r="E63" s="742" t="str">
        <f t="shared" si="0"/>
        <v>Fortified &gt;= 20.1%YOther</v>
      </c>
      <c r="F63" s="743">
        <v>0</v>
      </c>
    </row>
    <row r="64" spans="2:6">
      <c r="B64" s="741" t="s">
        <v>421</v>
      </c>
      <c r="C64" s="742" t="s">
        <v>802</v>
      </c>
      <c r="D64" s="742" t="s">
        <v>61</v>
      </c>
      <c r="E64" s="742" t="str">
        <f t="shared" si="0"/>
        <v>FlavouredYOther</v>
      </c>
      <c r="F64" s="743">
        <v>0</v>
      </c>
    </row>
    <row r="65" spans="2:6">
      <c r="B65" s="741" t="s">
        <v>800</v>
      </c>
      <c r="C65" s="742" t="s">
        <v>802</v>
      </c>
      <c r="D65" s="742" t="s">
        <v>379</v>
      </c>
      <c r="E65" s="742" t="str">
        <f t="shared" si="0"/>
        <v>WineYDomestic</v>
      </c>
      <c r="F65" s="743">
        <v>0</v>
      </c>
    </row>
    <row r="66" spans="2:6">
      <c r="B66" s="741" t="s">
        <v>814</v>
      </c>
      <c r="C66" s="742" t="s">
        <v>802</v>
      </c>
      <c r="D66" s="742" t="s">
        <v>379</v>
      </c>
      <c r="E66" s="742" t="str">
        <f t="shared" ref="E66:E71" si="1">B66&amp;C66&amp;D66</f>
        <v>SparklingYDomestic</v>
      </c>
      <c r="F66" s="743">
        <v>0</v>
      </c>
    </row>
    <row r="67" spans="2:6">
      <c r="B67" s="741" t="s">
        <v>813</v>
      </c>
      <c r="C67" s="742" t="s">
        <v>802</v>
      </c>
      <c r="D67" s="742" t="s">
        <v>379</v>
      </c>
      <c r="E67" s="742" t="str">
        <f t="shared" si="1"/>
        <v>SakeYDomestic</v>
      </c>
      <c r="F67" s="743">
        <v>0</v>
      </c>
    </row>
    <row r="68" spans="2:6">
      <c r="B68" s="741" t="s">
        <v>811</v>
      </c>
      <c r="C68" s="742" t="s">
        <v>802</v>
      </c>
      <c r="D68" s="742" t="s">
        <v>379</v>
      </c>
      <c r="E68" s="742" t="str">
        <f t="shared" si="1"/>
        <v>Light WineYDomestic</v>
      </c>
      <c r="F68" s="743">
        <v>0</v>
      </c>
    </row>
    <row r="69" spans="2:6">
      <c r="B69" s="741" t="s">
        <v>420</v>
      </c>
      <c r="C69" s="742" t="s">
        <v>802</v>
      </c>
      <c r="D69" s="742" t="s">
        <v>379</v>
      </c>
      <c r="E69" s="742" t="str">
        <f t="shared" si="1"/>
        <v>FortifiedYDomestic</v>
      </c>
      <c r="F69" s="743">
        <v>0</v>
      </c>
    </row>
    <row r="70" spans="2:6">
      <c r="B70" s="744" t="s">
        <v>812</v>
      </c>
      <c r="C70" s="742" t="s">
        <v>802</v>
      </c>
      <c r="D70" s="742" t="s">
        <v>379</v>
      </c>
      <c r="E70" s="742" t="str">
        <f t="shared" si="1"/>
        <v>Fortified &gt;= 20.1%YDomestic</v>
      </c>
      <c r="F70" s="743">
        <v>0</v>
      </c>
    </row>
    <row r="71" spans="2:6" ht="16" thickBot="1">
      <c r="B71" s="745" t="s">
        <v>421</v>
      </c>
      <c r="C71" s="746" t="s">
        <v>802</v>
      </c>
      <c r="D71" s="746" t="s">
        <v>379</v>
      </c>
      <c r="E71" s="746" t="str">
        <f t="shared" si="1"/>
        <v>FlavouredYDomestic</v>
      </c>
      <c r="F71" s="747">
        <v>0</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FF2FD-2465-43A5-86F3-A393BC035D63}">
  <dimension ref="B1:O28"/>
  <sheetViews>
    <sheetView showGridLines="0" topLeftCell="A2" zoomScaleNormal="100" zoomScaleSheetLayoutView="115" workbookViewId="0">
      <selection activeCell="B15" sqref="B15"/>
    </sheetView>
  </sheetViews>
  <sheetFormatPr defaultColWidth="8.58203125" defaultRowHeight="12.5"/>
  <cols>
    <col min="1" max="1" width="8.58203125" style="507"/>
    <col min="2" max="2" width="43.08203125" style="507" customWidth="1"/>
    <col min="3" max="3" width="13.33203125" style="507" customWidth="1"/>
    <col min="4" max="5" width="8.5" style="507" customWidth="1"/>
    <col min="6" max="6" width="5.5" style="507" customWidth="1"/>
    <col min="7" max="9" width="6.83203125" style="507" customWidth="1"/>
    <col min="10" max="16" width="9.33203125" style="507" customWidth="1"/>
    <col min="17" max="16384" width="8.58203125" style="507"/>
  </cols>
  <sheetData>
    <row r="1" spans="2:12" ht="13" hidden="1" thickBot="1"/>
    <row r="2" spans="2:12" ht="33" thickBot="1">
      <c r="B2" s="508" t="s">
        <v>59</v>
      </c>
      <c r="D2" s="509" t="s">
        <v>619</v>
      </c>
      <c r="E2" s="510" t="s">
        <v>620</v>
      </c>
    </row>
    <row r="3" spans="2:12" ht="15" customHeight="1" thickBot="1">
      <c r="B3" s="529" t="s">
        <v>621</v>
      </c>
      <c r="C3" s="530" t="s">
        <v>632</v>
      </c>
      <c r="D3" s="531">
        <f>D4*0.75</f>
        <v>18885.55710200893</v>
      </c>
      <c r="E3" s="532">
        <f>D3</f>
        <v>18885.55710200893</v>
      </c>
    </row>
    <row r="4" spans="2:12" ht="15" customHeight="1">
      <c r="B4" s="511" t="s">
        <v>621</v>
      </c>
      <c r="C4" s="533" t="s">
        <v>633</v>
      </c>
      <c r="D4" s="516">
        <f>(D7)/(1-D5)</f>
        <v>25180.742802678575</v>
      </c>
      <c r="E4" s="534">
        <f>E3/0.75</f>
        <v>25180.742802678575</v>
      </c>
    </row>
    <row r="5" spans="2:12" ht="15" customHeight="1">
      <c r="B5" s="512" t="s">
        <v>262</v>
      </c>
      <c r="C5" s="533" t="s">
        <v>622</v>
      </c>
      <c r="D5" s="535">
        <v>0.3</v>
      </c>
      <c r="E5" s="515">
        <f>D5</f>
        <v>0.3</v>
      </c>
    </row>
    <row r="6" spans="2:12" ht="15" customHeight="1">
      <c r="B6" s="512" t="s">
        <v>634</v>
      </c>
      <c r="C6" s="536" t="s">
        <v>622</v>
      </c>
      <c r="D6" s="514">
        <f>(D4-D7)/D7</f>
        <v>0.42857142857142866</v>
      </c>
      <c r="E6" s="537">
        <f>D6</f>
        <v>0.42857142857142866</v>
      </c>
    </row>
    <row r="7" spans="2:12" ht="15" customHeight="1">
      <c r="B7" s="512" t="s">
        <v>623</v>
      </c>
      <c r="C7" s="533" t="s">
        <v>633</v>
      </c>
      <c r="D7" s="516">
        <f>(D10)/(1-D8)</f>
        <v>17626.519961875001</v>
      </c>
      <c r="E7" s="538">
        <f>E4/(1+E6)</f>
        <v>17626.519961875001</v>
      </c>
    </row>
    <row r="8" spans="2:12" ht="15" customHeight="1">
      <c r="B8" s="512" t="s">
        <v>624</v>
      </c>
      <c r="C8" s="533" t="s">
        <v>622</v>
      </c>
      <c r="D8" s="535">
        <v>0.2</v>
      </c>
      <c r="E8" s="515">
        <f>D8</f>
        <v>0.2</v>
      </c>
      <c r="G8" s="517">
        <f>$L$23</f>
        <v>0.23155425219941356</v>
      </c>
      <c r="H8" s="518">
        <f>$L$23</f>
        <v>0.23155425219941356</v>
      </c>
    </row>
    <row r="9" spans="2:12" ht="15" customHeight="1">
      <c r="B9" s="512" t="s">
        <v>635</v>
      </c>
      <c r="C9" s="536" t="s">
        <v>622</v>
      </c>
      <c r="D9" s="514">
        <f>(D7-D10)/D10</f>
        <v>0.24999999999999983</v>
      </c>
      <c r="E9" s="537">
        <f>D9</f>
        <v>0.24999999999999983</v>
      </c>
      <c r="G9" s="517"/>
      <c r="H9" s="518"/>
    </row>
    <row r="10" spans="2:12" ht="15" customHeight="1">
      <c r="B10" s="512" t="s">
        <v>636</v>
      </c>
      <c r="C10" s="533"/>
      <c r="D10" s="516">
        <f>D12*(1+D11)</f>
        <v>14101.215969500003</v>
      </c>
      <c r="E10" s="538">
        <f>E7/(1+E9)</f>
        <v>14101.215969500003</v>
      </c>
      <c r="G10" s="517">
        <f t="shared" ref="G10:H18" si="0">$L$23</f>
        <v>0.23155425219941356</v>
      </c>
      <c r="H10" s="518">
        <f t="shared" si="0"/>
        <v>0.23155425219941356</v>
      </c>
    </row>
    <row r="11" spans="2:12" ht="15" customHeight="1">
      <c r="B11" s="512" t="s">
        <v>637</v>
      </c>
      <c r="C11" s="533"/>
      <c r="D11" s="535">
        <v>0.1</v>
      </c>
      <c r="E11" s="515">
        <f>D11</f>
        <v>0.1</v>
      </c>
      <c r="G11" s="517">
        <f t="shared" si="0"/>
        <v>0.23155425219941356</v>
      </c>
      <c r="H11" s="518">
        <f t="shared" si="0"/>
        <v>0.23155425219941356</v>
      </c>
    </row>
    <row r="12" spans="2:12" ht="15" customHeight="1">
      <c r="B12" s="512" t="s">
        <v>638</v>
      </c>
      <c r="C12" s="533"/>
      <c r="D12" s="516">
        <f>D16*(1+D13+D14+D15)</f>
        <v>12819.287245000001</v>
      </c>
      <c r="E12" s="538">
        <f>E10/(1+E11)</f>
        <v>12819.287245000001</v>
      </c>
      <c r="G12" s="517">
        <f t="shared" si="0"/>
        <v>0.23155425219941356</v>
      </c>
      <c r="H12" s="518">
        <f t="shared" si="0"/>
        <v>0.23155425219941356</v>
      </c>
      <c r="L12" s="525"/>
    </row>
    <row r="13" spans="2:12" ht="15" customHeight="1">
      <c r="B13" s="512" t="s">
        <v>639</v>
      </c>
      <c r="C13" s="533" t="s">
        <v>622</v>
      </c>
      <c r="D13" s="535">
        <v>0.1</v>
      </c>
      <c r="E13" s="515">
        <f>D13</f>
        <v>0.1</v>
      </c>
      <c r="G13" s="517">
        <f t="shared" si="0"/>
        <v>0.23155425219941356</v>
      </c>
      <c r="H13" s="518">
        <f t="shared" si="0"/>
        <v>0.23155425219941356</v>
      </c>
      <c r="K13" s="539"/>
    </row>
    <row r="14" spans="2:12" ht="15" customHeight="1">
      <c r="B14" s="512" t="s">
        <v>640</v>
      </c>
      <c r="C14" s="533" t="s">
        <v>622</v>
      </c>
      <c r="D14" s="535">
        <v>0.3</v>
      </c>
      <c r="E14" s="515">
        <f>D14</f>
        <v>0.3</v>
      </c>
      <c r="G14" s="517">
        <f t="shared" si="0"/>
        <v>0.23155425219941356</v>
      </c>
      <c r="H14" s="518">
        <f t="shared" si="0"/>
        <v>0.23155425219941356</v>
      </c>
    </row>
    <row r="15" spans="2:12" ht="15" customHeight="1">
      <c r="B15" s="512" t="s">
        <v>641</v>
      </c>
      <c r="C15" s="533" t="s">
        <v>622</v>
      </c>
      <c r="D15" s="535">
        <v>0.15</v>
      </c>
      <c r="E15" s="515">
        <f>D15</f>
        <v>0.15</v>
      </c>
      <c r="G15" s="517">
        <f t="shared" si="0"/>
        <v>0.23155425219941356</v>
      </c>
      <c r="H15" s="518">
        <f t="shared" si="0"/>
        <v>0.23155425219941356</v>
      </c>
    </row>
    <row r="16" spans="2:12" ht="15" customHeight="1">
      <c r="B16" s="512" t="s">
        <v>625</v>
      </c>
      <c r="C16" s="533" t="s">
        <v>633</v>
      </c>
      <c r="D16" s="516">
        <f>D17*D18</f>
        <v>8270.5079000000005</v>
      </c>
      <c r="E16" s="538">
        <f>E12/(1+E15+E13+E14)</f>
        <v>8270.5079000000005</v>
      </c>
      <c r="G16" s="517">
        <f t="shared" si="0"/>
        <v>0.23155425219941356</v>
      </c>
      <c r="H16" s="518">
        <f t="shared" si="0"/>
        <v>0.23155425219941356</v>
      </c>
    </row>
    <row r="17" spans="2:15" ht="15" customHeight="1">
      <c r="B17" s="512" t="s">
        <v>626</v>
      </c>
      <c r="C17" s="519" t="s">
        <v>642</v>
      </c>
      <c r="D17" s="516">
        <v>800.63</v>
      </c>
      <c r="E17" s="538">
        <f>D17</f>
        <v>800.63</v>
      </c>
      <c r="G17" s="517">
        <f t="shared" si="0"/>
        <v>0.23155425219941356</v>
      </c>
      <c r="H17" s="518">
        <f t="shared" si="0"/>
        <v>0.23155425219941356</v>
      </c>
      <c r="K17" s="507" t="str">
        <f>"Taxation Share of Retail Price, FOB to Retail: AU$"&amp;TEXT(D20, "0.00")&amp;" per litre"</f>
        <v>Taxation Share of Retail Price, FOB to Retail: AU$10.00 per litre</v>
      </c>
    </row>
    <row r="18" spans="2:15" ht="15" customHeight="1">
      <c r="B18" s="512" t="s">
        <v>627</v>
      </c>
      <c r="C18" s="520" t="s">
        <v>628</v>
      </c>
      <c r="D18" s="521">
        <f>D19+D20</f>
        <v>10.33</v>
      </c>
      <c r="E18" s="522">
        <f>E16/E17</f>
        <v>10.33</v>
      </c>
      <c r="G18" s="523">
        <f t="shared" si="0"/>
        <v>0.23155425219941356</v>
      </c>
      <c r="H18" s="524">
        <f t="shared" si="0"/>
        <v>0.23155425219941356</v>
      </c>
    </row>
    <row r="19" spans="2:15" ht="15" customHeight="1" thickBot="1">
      <c r="B19" s="512" t="s">
        <v>629</v>
      </c>
      <c r="C19" s="520" t="s">
        <v>628</v>
      </c>
      <c r="D19" s="540">
        <v>0.33</v>
      </c>
      <c r="E19" s="522" t="s">
        <v>672</v>
      </c>
    </row>
    <row r="20" spans="2:15" ht="15" customHeight="1" thickBot="1">
      <c r="B20" s="529" t="s">
        <v>630</v>
      </c>
      <c r="C20" s="541" t="s">
        <v>628</v>
      </c>
      <c r="D20" s="542">
        <v>10</v>
      </c>
      <c r="E20" s="543" t="e">
        <f>E18-E19</f>
        <v>#VALUE!</v>
      </c>
      <c r="F20" s="544" t="e">
        <f>(E20-D20)/D20</f>
        <v>#VALUE!</v>
      </c>
      <c r="K20" s="525" t="str">
        <f>"Tax = "&amp;L23</f>
        <v>Tax = 0.231554252199414</v>
      </c>
      <c r="O20" s="507">
        <v>1</v>
      </c>
    </row>
    <row r="21" spans="2:15">
      <c r="K21" s="526"/>
      <c r="L21" s="527">
        <f>D10-D16</f>
        <v>5830.7080695000022</v>
      </c>
      <c r="M21" s="527"/>
    </row>
    <row r="22" spans="2:15">
      <c r="K22" s="526"/>
      <c r="L22" s="526" t="s">
        <v>619</v>
      </c>
      <c r="M22" s="526"/>
      <c r="O22" s="507">
        <v>1</v>
      </c>
    </row>
    <row r="23" spans="2:15">
      <c r="K23" s="526" t="s">
        <v>631</v>
      </c>
      <c r="L23" s="528">
        <f>L21/D4</f>
        <v>0.23155425219941356</v>
      </c>
      <c r="M23" s="528"/>
    </row>
    <row r="24" spans="2:15">
      <c r="K24" s="526" t="s">
        <v>61</v>
      </c>
      <c r="L24" s="528">
        <f>1-L23</f>
        <v>0.76844574780058639</v>
      </c>
      <c r="M24" s="528"/>
    </row>
    <row r="25" spans="2:15">
      <c r="D25" s="513"/>
    </row>
    <row r="28" spans="2:15">
      <c r="D28" s="539"/>
    </row>
  </sheetData>
  <conditionalFormatting sqref="G8:H9">
    <cfRule type="cellIs" dxfId="18" priority="10" stopIfTrue="1" operator="greaterThan">
      <formula>0.9</formula>
    </cfRule>
    <cfRule type="cellIs" dxfId="17" priority="11" stopIfTrue="1" operator="lessThanOrEqual">
      <formula>0.9</formula>
    </cfRule>
  </conditionalFormatting>
  <conditionalFormatting sqref="G10:H10">
    <cfRule type="cellIs" dxfId="16" priority="12" stopIfTrue="1" operator="greaterThan">
      <formula>0.8</formula>
    </cfRule>
    <cfRule type="cellIs" dxfId="15" priority="13" stopIfTrue="1" operator="lessThanOrEqual">
      <formula>0.8</formula>
    </cfRule>
  </conditionalFormatting>
  <conditionalFormatting sqref="G11:H11">
    <cfRule type="cellIs" dxfId="14" priority="14" stopIfTrue="1" operator="greaterThan">
      <formula>0.7</formula>
    </cfRule>
    <cfRule type="cellIs" dxfId="13" priority="15" stopIfTrue="1" operator="lessThanOrEqual">
      <formula>0.7</formula>
    </cfRule>
  </conditionalFormatting>
  <conditionalFormatting sqref="G12:H12">
    <cfRule type="cellIs" dxfId="12" priority="16" stopIfTrue="1" operator="greaterThan">
      <formula>0.6</formula>
    </cfRule>
    <cfRule type="cellIs" dxfId="11" priority="17" stopIfTrue="1" operator="lessThanOrEqual">
      <formula>0.6</formula>
    </cfRule>
  </conditionalFormatting>
  <conditionalFormatting sqref="G13:H13">
    <cfRule type="cellIs" dxfId="10" priority="8" stopIfTrue="1" operator="greaterThan">
      <formula>0.5</formula>
    </cfRule>
    <cfRule type="cellIs" dxfId="9" priority="9" stopIfTrue="1" operator="lessThanOrEqual">
      <formula>0.5</formula>
    </cfRule>
  </conditionalFormatting>
  <conditionalFormatting sqref="G14:H14">
    <cfRule type="cellIs" dxfId="8" priority="18" stopIfTrue="1" operator="greaterThan">
      <formula>0.4</formula>
    </cfRule>
    <cfRule type="cellIs" dxfId="7" priority="19" stopIfTrue="1" operator="lessThanOrEqual">
      <formula>0.4</formula>
    </cfRule>
  </conditionalFormatting>
  <conditionalFormatting sqref="G15:H15">
    <cfRule type="cellIs" dxfId="6" priority="2" stopIfTrue="1" operator="greaterThan">
      <formula>0.3</formula>
    </cfRule>
    <cfRule type="cellIs" dxfId="5" priority="3" stopIfTrue="1" operator="lessThanOrEqual">
      <formula>0.3</formula>
    </cfRule>
  </conditionalFormatting>
  <conditionalFormatting sqref="G16:H16">
    <cfRule type="cellIs" dxfId="4" priority="4" stopIfTrue="1" operator="greaterThan">
      <formula>0.2</formula>
    </cfRule>
    <cfRule type="cellIs" dxfId="3" priority="5" stopIfTrue="1" operator="lessThanOrEqual">
      <formula>0.2</formula>
    </cfRule>
  </conditionalFormatting>
  <conditionalFormatting sqref="G17:H17">
    <cfRule type="cellIs" dxfId="2" priority="6" stopIfTrue="1" operator="greaterThan">
      <formula>0.1</formula>
    </cfRule>
    <cfRule type="cellIs" dxfId="1" priority="7" stopIfTrue="1" operator="lessThanOrEqual">
      <formula>0.1</formula>
    </cfRule>
  </conditionalFormatting>
  <conditionalFormatting sqref="G18:H18">
    <cfRule type="cellIs" dxfId="0" priority="1" stopIfTrue="1" operator="greaterThan">
      <formula>0.02</formula>
    </cfRule>
  </conditionalFormatting>
  <pageMargins left="0.75" right="0.75" top="1" bottom="1" header="0.5" footer="0.5"/>
  <pageSetup paperSize="9" scale="12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ABB43-7F8B-B644-9998-44C2018B0B47}">
  <sheetPr codeName="Sheet2">
    <tabColor theme="9"/>
  </sheetPr>
  <dimension ref="A1:P47"/>
  <sheetViews>
    <sheetView zoomScaleNormal="100" workbookViewId="0">
      <selection activeCell="Q11" sqref="Q11:Q15"/>
    </sheetView>
  </sheetViews>
  <sheetFormatPr defaultColWidth="10.83203125" defaultRowHeight="20"/>
  <cols>
    <col min="1" max="1" width="8.58203125" style="3" customWidth="1"/>
    <col min="2" max="2" width="35.83203125" style="3" customWidth="1"/>
    <col min="3" max="3" width="25.58203125" style="3" bestFit="1" customWidth="1"/>
    <col min="4" max="4" width="17" style="3" customWidth="1"/>
    <col min="5" max="5" width="9.5" style="3" customWidth="1"/>
    <col min="6" max="6" width="13.08203125" style="3" customWidth="1"/>
    <col min="7" max="7" width="18.08203125" style="3" customWidth="1"/>
    <col min="8" max="8" width="14.5" style="3" bestFit="1" customWidth="1"/>
    <col min="9" max="9" width="14.5" style="3" customWidth="1"/>
    <col min="10" max="17" width="10.83203125" style="3"/>
    <col min="18" max="18" width="25.33203125" style="3" bestFit="1" customWidth="1"/>
    <col min="19" max="19" width="38.5" style="3" bestFit="1" customWidth="1"/>
    <col min="20" max="20" width="24.83203125" style="3" bestFit="1" customWidth="1"/>
    <col min="21" max="21" width="13.33203125" style="3" bestFit="1" customWidth="1"/>
    <col min="22" max="16384" width="10.83203125" style="3"/>
  </cols>
  <sheetData>
    <row r="1" spans="1:16" ht="37" customHeight="1">
      <c r="A1" s="836" t="s">
        <v>234</v>
      </c>
      <c r="B1" s="836"/>
    </row>
    <row r="2" spans="1:16" ht="37" customHeight="1">
      <c r="A2" s="836" t="s">
        <v>206</v>
      </c>
      <c r="B2" s="836"/>
    </row>
    <row r="3" spans="1:16" ht="27.5">
      <c r="B3" s="47" t="s">
        <v>141</v>
      </c>
      <c r="C3" s="48"/>
      <c r="D3" s="48"/>
      <c r="E3" s="48"/>
      <c r="F3" s="48"/>
      <c r="G3" s="48"/>
      <c r="H3" s="48"/>
      <c r="I3" s="48"/>
      <c r="J3" s="48"/>
      <c r="K3" s="48"/>
      <c r="L3" s="48"/>
      <c r="M3" s="48"/>
      <c r="N3" s="48"/>
      <c r="O3" s="48"/>
      <c r="P3" s="48"/>
    </row>
    <row r="4" spans="1:16">
      <c r="B4" s="49" t="s">
        <v>65</v>
      </c>
      <c r="F4" s="859" t="s">
        <v>77</v>
      </c>
      <c r="G4" s="859"/>
      <c r="H4" s="859" t="s">
        <v>436</v>
      </c>
      <c r="I4" s="859"/>
    </row>
    <row r="5" spans="1:16">
      <c r="B5" s="3" t="s">
        <v>0</v>
      </c>
      <c r="F5" s="144">
        <v>3</v>
      </c>
      <c r="G5" s="3" t="s">
        <v>76</v>
      </c>
      <c r="H5" s="46">
        <f>F5*10/C45/C46</f>
        <v>2.976190476190476E-2</v>
      </c>
      <c r="J5" s="3" t="s">
        <v>17</v>
      </c>
    </row>
    <row r="6" spans="1:16">
      <c r="B6" s="3" t="s">
        <v>1</v>
      </c>
      <c r="F6" s="144">
        <v>20</v>
      </c>
      <c r="G6" s="46" t="s">
        <v>19</v>
      </c>
      <c r="H6" s="46">
        <f>(F6/C45)</f>
        <v>0.35714285714285715</v>
      </c>
      <c r="J6" s="3" t="s">
        <v>30</v>
      </c>
    </row>
    <row r="7" spans="1:16">
      <c r="B7" s="3" t="s">
        <v>499</v>
      </c>
      <c r="F7" s="144">
        <v>30</v>
      </c>
      <c r="G7" s="46" t="s">
        <v>19</v>
      </c>
      <c r="H7" s="46">
        <f>(F7/C45)</f>
        <v>0.5357142857142857</v>
      </c>
    </row>
    <row r="8" spans="1:16">
      <c r="B8" s="3" t="s">
        <v>500</v>
      </c>
      <c r="F8" s="144">
        <v>25</v>
      </c>
      <c r="G8" s="46" t="s">
        <v>21</v>
      </c>
      <c r="H8" s="46">
        <f t="shared" ref="H8:H17" si="0">F8/$C$47</f>
        <v>2.5000000000000001E-2</v>
      </c>
    </row>
    <row r="9" spans="1:16">
      <c r="B9" s="3" t="s">
        <v>14</v>
      </c>
      <c r="F9" s="144">
        <v>245</v>
      </c>
      <c r="G9" s="50" t="s">
        <v>18</v>
      </c>
      <c r="H9" s="46">
        <f t="shared" si="0"/>
        <v>0.245</v>
      </c>
      <c r="I9" s="3" t="s">
        <v>25</v>
      </c>
    </row>
    <row r="10" spans="1:16">
      <c r="B10" s="3" t="s">
        <v>11</v>
      </c>
      <c r="F10" s="144">
        <v>80</v>
      </c>
      <c r="G10" s="3" t="s">
        <v>18</v>
      </c>
      <c r="H10" s="46">
        <f t="shared" si="0"/>
        <v>0.08</v>
      </c>
      <c r="I10" s="3" t="s">
        <v>25</v>
      </c>
    </row>
    <row r="11" spans="1:16">
      <c r="B11" s="3" t="s">
        <v>4</v>
      </c>
      <c r="F11" s="144">
        <v>45</v>
      </c>
      <c r="G11" s="3" t="s">
        <v>18</v>
      </c>
      <c r="H11" s="46">
        <f t="shared" si="0"/>
        <v>4.4999999999999998E-2</v>
      </c>
      <c r="I11" s="3" t="s">
        <v>25</v>
      </c>
    </row>
    <row r="12" spans="1:16">
      <c r="B12" s="3" t="s">
        <v>13</v>
      </c>
      <c r="F12" s="144">
        <v>10</v>
      </c>
      <c r="G12" s="3" t="s">
        <v>18</v>
      </c>
      <c r="H12" s="46">
        <f t="shared" si="0"/>
        <v>0.01</v>
      </c>
      <c r="I12" s="3" t="s">
        <v>25</v>
      </c>
    </row>
    <row r="13" spans="1:16">
      <c r="B13" s="3" t="s">
        <v>5</v>
      </c>
      <c r="F13" s="144">
        <v>95</v>
      </c>
      <c r="G13" s="3" t="s">
        <v>22</v>
      </c>
      <c r="H13" s="46">
        <f t="shared" si="0"/>
        <v>9.5000000000000001E-2</v>
      </c>
      <c r="I13" s="3" t="s">
        <v>25</v>
      </c>
    </row>
    <row r="14" spans="1:16">
      <c r="B14" s="3" t="s">
        <v>29</v>
      </c>
      <c r="F14" s="144">
        <v>25</v>
      </c>
      <c r="G14" s="3" t="s">
        <v>18</v>
      </c>
      <c r="H14" s="46">
        <f t="shared" si="0"/>
        <v>2.5000000000000001E-2</v>
      </c>
      <c r="I14" s="3" t="s">
        <v>25</v>
      </c>
    </row>
    <row r="15" spans="1:16">
      <c r="B15" s="3" t="s">
        <v>6</v>
      </c>
      <c r="F15" s="144">
        <v>35</v>
      </c>
      <c r="G15" s="3" t="s">
        <v>23</v>
      </c>
      <c r="H15" s="46">
        <f t="shared" si="0"/>
        <v>3.5000000000000003E-2</v>
      </c>
      <c r="I15" s="3" t="s">
        <v>145</v>
      </c>
      <c r="J15" s="3" t="s">
        <v>146</v>
      </c>
    </row>
    <row r="16" spans="1:16">
      <c r="B16" s="3" t="s">
        <v>10</v>
      </c>
      <c r="F16" s="144">
        <v>865</v>
      </c>
      <c r="G16" s="3" t="s">
        <v>18</v>
      </c>
      <c r="H16" s="46">
        <f t="shared" si="0"/>
        <v>0.86499999999999999</v>
      </c>
    </row>
    <row r="17" spans="2:9">
      <c r="B17" s="3" t="s">
        <v>582</v>
      </c>
      <c r="F17" s="144">
        <v>715</v>
      </c>
      <c r="G17" s="3" t="s">
        <v>18</v>
      </c>
      <c r="H17" s="46">
        <f t="shared" si="0"/>
        <v>0.71499999999999997</v>
      </c>
    </row>
    <row r="18" spans="2:9">
      <c r="F18" s="105"/>
      <c r="H18" s="46">
        <f>SUM(H5:H17)</f>
        <v>3.0626190476190471</v>
      </c>
    </row>
    <row r="19" spans="2:9">
      <c r="B19" s="49" t="s">
        <v>502</v>
      </c>
      <c r="F19" s="105"/>
      <c r="G19" s="51"/>
      <c r="H19" s="46"/>
    </row>
    <row r="20" spans="2:9" ht="23.15" customHeight="1">
      <c r="B20" s="3" t="s">
        <v>501</v>
      </c>
      <c r="E20" s="56" t="b">
        <v>1</v>
      </c>
      <c r="F20" s="144">
        <v>40</v>
      </c>
      <c r="G20" s="51" t="s">
        <v>27</v>
      </c>
      <c r="H20" s="46">
        <f>IF(E20=TRUE,F20/$C$47,0)</f>
        <v>0.04</v>
      </c>
    </row>
    <row r="21" spans="2:9">
      <c r="B21" s="3" t="s">
        <v>9</v>
      </c>
      <c r="E21" s="56" t="b">
        <v>1</v>
      </c>
      <c r="F21" s="144">
        <v>15</v>
      </c>
      <c r="G21" s="51" t="s">
        <v>26</v>
      </c>
      <c r="H21" s="46">
        <f>IF(E21=TRUE,(F21*5)/C45,0)</f>
        <v>1.3392857142857142</v>
      </c>
      <c r="I21" s="3" t="s">
        <v>67</v>
      </c>
    </row>
    <row r="22" spans="2:9" ht="23.15" customHeight="1">
      <c r="B22" s="3" t="s">
        <v>12</v>
      </c>
      <c r="E22" s="56" t="b">
        <v>1</v>
      </c>
      <c r="F22" s="144">
        <v>35</v>
      </c>
      <c r="G22" s="51" t="s">
        <v>28</v>
      </c>
      <c r="H22" s="46">
        <f>IF(E22=TRUE,F22/$C$47,0)</f>
        <v>3.5000000000000003E-2</v>
      </c>
    </row>
    <row r="23" spans="2:9">
      <c r="F23" s="105"/>
      <c r="H23" s="46"/>
    </row>
    <row r="24" spans="2:9">
      <c r="B24" s="49" t="s">
        <v>503</v>
      </c>
      <c r="F24" s="105"/>
      <c r="H24" s="46"/>
    </row>
    <row r="25" spans="2:9">
      <c r="B25" s="41" t="s">
        <v>34</v>
      </c>
      <c r="F25" s="105"/>
      <c r="H25" s="46"/>
    </row>
    <row r="26" spans="2:9">
      <c r="B26" s="3" t="s">
        <v>2</v>
      </c>
      <c r="F26" s="144">
        <v>25</v>
      </c>
      <c r="G26" s="3" t="s">
        <v>18</v>
      </c>
      <c r="H26" s="46">
        <f t="shared" ref="H26:H31" si="1">F26/$C$47</f>
        <v>2.5000000000000001E-2</v>
      </c>
    </row>
    <row r="27" spans="2:9">
      <c r="B27" s="3" t="s">
        <v>3</v>
      </c>
      <c r="F27" s="144">
        <v>25</v>
      </c>
      <c r="G27" s="3" t="s">
        <v>18</v>
      </c>
      <c r="H27" s="46">
        <f t="shared" si="1"/>
        <v>2.5000000000000001E-2</v>
      </c>
    </row>
    <row r="28" spans="2:9">
      <c r="B28" s="3" t="s">
        <v>35</v>
      </c>
      <c r="F28" s="144"/>
      <c r="G28" s="3" t="s">
        <v>18</v>
      </c>
      <c r="H28" s="46">
        <f t="shared" si="1"/>
        <v>0</v>
      </c>
    </row>
    <row r="29" spans="2:9">
      <c r="B29" s="3" t="s">
        <v>505</v>
      </c>
      <c r="F29" s="144">
        <v>34.65</v>
      </c>
      <c r="G29" s="3" t="s">
        <v>20</v>
      </c>
      <c r="H29" s="46">
        <f t="shared" si="1"/>
        <v>3.465E-2</v>
      </c>
    </row>
    <row r="30" spans="2:9">
      <c r="B30" s="3" t="s">
        <v>577</v>
      </c>
      <c r="F30" s="144">
        <v>30</v>
      </c>
      <c r="G30" s="3" t="s">
        <v>18</v>
      </c>
      <c r="H30" s="46">
        <f t="shared" si="1"/>
        <v>0.03</v>
      </c>
    </row>
    <row r="31" spans="2:9">
      <c r="B31" s="3" t="s">
        <v>578</v>
      </c>
      <c r="F31" s="144">
        <v>45</v>
      </c>
      <c r="G31" s="3" t="s">
        <v>579</v>
      </c>
      <c r="H31" s="46">
        <f t="shared" si="1"/>
        <v>4.4999999999999998E-2</v>
      </c>
    </row>
    <row r="32" spans="2:9">
      <c r="B32" s="41" t="s">
        <v>36</v>
      </c>
      <c r="F32" s="105"/>
      <c r="H32" s="46"/>
    </row>
    <row r="33" spans="2:16">
      <c r="B33" s="3" t="s">
        <v>38</v>
      </c>
      <c r="F33" s="144">
        <v>47.25</v>
      </c>
      <c r="G33" s="3" t="s">
        <v>18</v>
      </c>
      <c r="H33" s="46">
        <f>F33/$C$47</f>
        <v>4.725E-2</v>
      </c>
    </row>
    <row r="34" spans="2:16">
      <c r="B34" s="41" t="s">
        <v>55</v>
      </c>
      <c r="F34" s="105"/>
      <c r="H34" s="46"/>
    </row>
    <row r="35" spans="2:16">
      <c r="B35" s="52" t="s">
        <v>63</v>
      </c>
      <c r="F35" s="144">
        <v>94.5</v>
      </c>
      <c r="G35" s="3" t="s">
        <v>18</v>
      </c>
      <c r="H35" s="46">
        <f>F35/$C$47</f>
        <v>9.4500000000000001E-2</v>
      </c>
    </row>
    <row r="36" spans="2:16">
      <c r="B36" s="52" t="s">
        <v>578</v>
      </c>
      <c r="F36" s="144">
        <v>45</v>
      </c>
      <c r="G36" s="3" t="s">
        <v>579</v>
      </c>
      <c r="H36" s="46">
        <f>F36/$C$47</f>
        <v>4.4999999999999998E-2</v>
      </c>
    </row>
    <row r="37" spans="2:16">
      <c r="B37" s="41" t="s">
        <v>51</v>
      </c>
      <c r="F37" s="105"/>
      <c r="H37" s="46"/>
    </row>
    <row r="38" spans="2:16">
      <c r="B38" s="52" t="s">
        <v>64</v>
      </c>
      <c r="F38" s="144">
        <v>210</v>
      </c>
      <c r="G38" s="3" t="s">
        <v>18</v>
      </c>
      <c r="H38" s="46">
        <f>F38/$C$47</f>
        <v>0.21</v>
      </c>
    </row>
    <row r="40" spans="2:16">
      <c r="B40" s="49" t="s">
        <v>15</v>
      </c>
    </row>
    <row r="41" spans="2:16" ht="92.15" customHeight="1">
      <c r="B41" s="860" t="s">
        <v>140</v>
      </c>
      <c r="C41" s="860"/>
      <c r="D41" s="860"/>
      <c r="E41" s="53"/>
      <c r="F41" s="53"/>
      <c r="G41" s="53"/>
      <c r="H41" s="53"/>
      <c r="I41" s="53"/>
      <c r="J41" s="53"/>
      <c r="K41" s="53"/>
      <c r="L41" s="53"/>
      <c r="M41" s="53"/>
      <c r="N41" s="53"/>
      <c r="O41" s="53"/>
      <c r="P41" s="53"/>
    </row>
    <row r="42" spans="2:16" ht="91" customHeight="1">
      <c r="B42" s="860" t="s">
        <v>581</v>
      </c>
      <c r="C42" s="860"/>
      <c r="D42" s="860"/>
      <c r="E42" s="53"/>
      <c r="F42" s="53"/>
      <c r="G42" s="53"/>
      <c r="H42" s="53"/>
      <c r="I42" s="53"/>
      <c r="J42" s="53"/>
      <c r="K42" s="53"/>
      <c r="L42" s="53"/>
      <c r="M42" s="53"/>
      <c r="N42" s="53"/>
      <c r="O42" s="53"/>
      <c r="P42" s="53"/>
    </row>
    <row r="43" spans="2:16">
      <c r="B43" s="53"/>
      <c r="C43" s="53"/>
      <c r="D43" s="53"/>
      <c r="E43" s="107"/>
      <c r="F43" s="53"/>
    </row>
    <row r="44" spans="2:16">
      <c r="B44" s="49" t="s">
        <v>504</v>
      </c>
      <c r="F44" s="54"/>
    </row>
    <row r="45" spans="2:16">
      <c r="B45" s="3" t="s">
        <v>31</v>
      </c>
      <c r="C45" s="55">
        <v>56</v>
      </c>
    </row>
    <row r="46" spans="2:16">
      <c r="B46" s="3" t="s">
        <v>32</v>
      </c>
      <c r="C46" s="55">
        <v>18</v>
      </c>
    </row>
    <row r="47" spans="2:16">
      <c r="B47" s="3" t="s">
        <v>33</v>
      </c>
      <c r="C47" s="55">
        <v>1000</v>
      </c>
    </row>
  </sheetData>
  <sheetProtection algorithmName="SHA-512" hashValue="LnYmZgxuNV0SW4vTi2XLoPV7+k0bIsUIyD2WbPxg7ivQg9j6PhlJBuoJjSitoUYjqpjvgnVnPT+i9alTQ+aeLw==" saltValue="u/yxT+Wq1O6uOr80uTNoHA==" spinCount="100000" sheet="1" objects="1" scenarios="1"/>
  <mergeCells count="6">
    <mergeCell ref="F4:G4"/>
    <mergeCell ref="H4:I4"/>
    <mergeCell ref="B41:D41"/>
    <mergeCell ref="B42:D42"/>
    <mergeCell ref="A1:B1"/>
    <mergeCell ref="A2:B2"/>
  </mergeCells>
  <conditionalFormatting sqref="F6:G7">
    <cfRule type="containsBlanks" dxfId="230" priority="2">
      <formula>LEN(TRIM(F6))=0</formula>
    </cfRule>
  </conditionalFormatting>
  <hyperlinks>
    <hyperlink ref="A1" location="'Wine Offer Template'!A1" display="Return to Wine Offer Template" xr:uid="{06171907-6689-8E48-94BC-F1CD7D9B3239}"/>
    <hyperlink ref="A1:B1" location="Home!A1" display="Return Home" xr:uid="{94807B21-789E-B14B-87C8-AEC8B0D93E40}"/>
    <hyperlink ref="A2:B2" location="'Net Revenue'!A1" display="Go to Net Revenue" xr:uid="{AA1BBA6C-F956-7B45-BA23-EB25FDB718FE}"/>
  </hyperlinks>
  <pageMargins left="0.7" right="0.7" top="0.75" bottom="0.75" header="0.3" footer="0.3"/>
  <ignoredErrors>
    <ignoredError sqref="H21" 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locked="0" defaultSize="0" autoFill="0" autoLine="0" autoPict="0">
                <anchor moveWithCells="1">
                  <from>
                    <xdr:col>3</xdr:col>
                    <xdr:colOff>1289050</xdr:colOff>
                    <xdr:row>18</xdr:row>
                    <xdr:rowOff>279400</xdr:rowOff>
                  </from>
                  <to>
                    <xdr:col>3</xdr:col>
                    <xdr:colOff>1289050</xdr:colOff>
                    <xdr:row>20</xdr:row>
                    <xdr:rowOff>0</xdr:rowOff>
                  </to>
                </anchor>
              </controlPr>
            </control>
          </mc:Choice>
        </mc:AlternateContent>
        <mc:AlternateContent xmlns:mc="http://schemas.openxmlformats.org/markup-compatibility/2006">
          <mc:Choice Requires="x14">
            <control shapeId="2050" r:id="rId4" name="Check Box 2">
              <controlPr locked="0" defaultSize="0" autoFill="0" autoLine="0" autoPict="0">
                <anchor moveWithCells="1">
                  <from>
                    <xdr:col>3</xdr:col>
                    <xdr:colOff>1289050</xdr:colOff>
                    <xdr:row>19</xdr:row>
                    <xdr:rowOff>279400</xdr:rowOff>
                  </from>
                  <to>
                    <xdr:col>3</xdr:col>
                    <xdr:colOff>1289050</xdr:colOff>
                    <xdr:row>21</xdr:row>
                    <xdr:rowOff>0</xdr:rowOff>
                  </to>
                </anchor>
              </controlPr>
            </control>
          </mc:Choice>
        </mc:AlternateContent>
        <mc:AlternateContent xmlns:mc="http://schemas.openxmlformats.org/markup-compatibility/2006">
          <mc:Choice Requires="x14">
            <control shapeId="2051" r:id="rId5" name="Check Box 3">
              <controlPr locked="0" defaultSize="0" autoFill="0" autoLine="0" autoPict="0">
                <anchor moveWithCells="1">
                  <from>
                    <xdr:col>3</xdr:col>
                    <xdr:colOff>1289050</xdr:colOff>
                    <xdr:row>20</xdr:row>
                    <xdr:rowOff>279400</xdr:rowOff>
                  </from>
                  <to>
                    <xdr:col>3</xdr:col>
                    <xdr:colOff>1289050</xdr:colOff>
                    <xdr:row>22</xdr:row>
                    <xdr:rowOff>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760E5-C9F7-7D4E-9523-2D08080E1AC8}">
  <sheetPr codeName="Sheet19">
    <tabColor rgb="FFFF0000"/>
  </sheetPr>
  <dimension ref="B1:S28"/>
  <sheetViews>
    <sheetView workbookViewId="0"/>
  </sheetViews>
  <sheetFormatPr defaultColWidth="11" defaultRowHeight="15.5"/>
  <cols>
    <col min="7" max="7" width="43.58203125" bestFit="1" customWidth="1"/>
    <col min="10" max="10" width="28.08203125" bestFit="1" customWidth="1"/>
    <col min="15" max="15" width="11.08203125" bestFit="1" customWidth="1"/>
    <col min="16" max="16" width="18.08203125" bestFit="1" customWidth="1"/>
  </cols>
  <sheetData>
    <row r="1" spans="2:19">
      <c r="J1" s="14"/>
      <c r="K1" s="14"/>
      <c r="L1" s="14"/>
      <c r="M1" s="14"/>
      <c r="N1" s="14"/>
      <c r="O1" s="14"/>
      <c r="P1" s="14"/>
      <c r="Q1" s="14"/>
      <c r="R1" s="14"/>
      <c r="S1" s="14"/>
    </row>
    <row r="2" spans="2:19" ht="20">
      <c r="J2" s="14"/>
      <c r="K2" s="15"/>
      <c r="L2" s="15"/>
      <c r="M2" s="15"/>
      <c r="N2" s="15"/>
      <c r="O2" s="16"/>
      <c r="P2" s="15"/>
      <c r="Q2" s="17"/>
      <c r="R2" s="14"/>
      <c r="S2" s="14"/>
    </row>
    <row r="3" spans="2:19" ht="20">
      <c r="B3" t="s">
        <v>46</v>
      </c>
      <c r="F3" t="s">
        <v>144</v>
      </c>
      <c r="H3" s="1"/>
      <c r="J3" s="14"/>
      <c r="K3" s="15"/>
      <c r="L3" s="15"/>
      <c r="M3" s="15"/>
      <c r="N3" s="15"/>
      <c r="O3" s="16"/>
      <c r="P3" s="16"/>
      <c r="Q3" s="17"/>
      <c r="R3" s="14"/>
      <c r="S3" s="14"/>
    </row>
    <row r="4" spans="2:19" ht="20">
      <c r="B4" t="s">
        <v>48</v>
      </c>
      <c r="F4" s="34">
        <v>0</v>
      </c>
      <c r="H4" s="1"/>
      <c r="J4" s="14"/>
      <c r="K4" s="15"/>
      <c r="L4" s="15"/>
      <c r="M4" s="15"/>
      <c r="N4" s="15"/>
      <c r="O4" s="16"/>
      <c r="P4" s="16"/>
      <c r="Q4" s="17"/>
      <c r="R4" s="14"/>
      <c r="S4" s="14"/>
    </row>
    <row r="5" spans="2:19" ht="20">
      <c r="B5" t="s">
        <v>49</v>
      </c>
      <c r="F5" s="34">
        <v>0.05</v>
      </c>
      <c r="H5" s="1"/>
      <c r="J5" s="14"/>
      <c r="K5" s="15"/>
      <c r="L5" s="15"/>
      <c r="M5" s="15"/>
      <c r="N5" s="15"/>
      <c r="O5" s="16"/>
      <c r="P5" s="18"/>
      <c r="Q5" s="17"/>
      <c r="R5" s="14"/>
      <c r="S5" s="14"/>
    </row>
    <row r="6" spans="2:19" ht="20">
      <c r="B6" t="s">
        <v>50</v>
      </c>
      <c r="F6" s="35">
        <v>7.4999999999999997E-2</v>
      </c>
      <c r="H6" s="1"/>
      <c r="J6" s="14"/>
      <c r="K6" s="15"/>
      <c r="L6" s="15"/>
      <c r="M6" s="15"/>
      <c r="N6" s="15"/>
      <c r="O6" s="16"/>
      <c r="P6" s="15"/>
      <c r="Q6" s="17"/>
      <c r="R6" s="14"/>
      <c r="S6" s="14"/>
    </row>
    <row r="7" spans="2:19" ht="20">
      <c r="B7" t="s">
        <v>51</v>
      </c>
      <c r="F7" s="34">
        <v>0.1</v>
      </c>
      <c r="H7" s="1"/>
      <c r="J7" s="14"/>
      <c r="K7" s="15"/>
      <c r="L7" s="15"/>
      <c r="M7" s="15"/>
      <c r="N7" s="15"/>
      <c r="O7" s="16"/>
      <c r="P7" s="15"/>
      <c r="Q7" s="17"/>
      <c r="R7" s="14"/>
      <c r="S7" s="14"/>
    </row>
    <row r="8" spans="2:19" ht="20">
      <c r="B8" t="s">
        <v>52</v>
      </c>
      <c r="F8" s="35">
        <v>0.125</v>
      </c>
      <c r="H8" s="1"/>
      <c r="J8" s="14"/>
      <c r="K8" s="15"/>
      <c r="L8" s="15"/>
      <c r="M8" s="15"/>
      <c r="N8" s="15"/>
      <c r="O8" s="16"/>
      <c r="P8" s="15"/>
      <c r="Q8" s="17"/>
      <c r="R8" s="14"/>
      <c r="S8" s="14"/>
    </row>
    <row r="9" spans="2:19" ht="20">
      <c r="B9" t="s">
        <v>34</v>
      </c>
      <c r="F9" s="34">
        <v>0.15</v>
      </c>
      <c r="H9" s="1"/>
      <c r="J9" s="14"/>
      <c r="K9" s="15"/>
      <c r="L9" s="15"/>
      <c r="M9" s="15"/>
      <c r="N9" s="15"/>
      <c r="O9" s="16"/>
      <c r="P9" s="15"/>
      <c r="Q9" s="17"/>
      <c r="R9" s="14"/>
      <c r="S9" s="14"/>
    </row>
    <row r="10" spans="2:19" ht="20">
      <c r="B10" t="s">
        <v>53</v>
      </c>
      <c r="H10" s="1"/>
      <c r="J10" s="14"/>
      <c r="K10" s="15"/>
      <c r="L10" s="15"/>
      <c r="M10" s="15"/>
      <c r="N10" s="15"/>
      <c r="O10" s="16"/>
      <c r="P10" s="15"/>
      <c r="Q10" s="17"/>
      <c r="R10" s="14"/>
      <c r="S10" s="14"/>
    </row>
    <row r="11" spans="2:19" ht="20">
      <c r="B11" t="s">
        <v>54</v>
      </c>
      <c r="H11" s="1"/>
      <c r="J11" s="14"/>
      <c r="K11" s="15"/>
      <c r="L11" s="15"/>
      <c r="M11" s="15"/>
      <c r="N11" s="15"/>
      <c r="O11" s="16"/>
      <c r="P11" s="15"/>
      <c r="Q11" s="17"/>
      <c r="R11" s="14"/>
      <c r="S11" s="14"/>
    </row>
    <row r="12" spans="2:19" ht="20">
      <c r="B12" t="s">
        <v>55</v>
      </c>
      <c r="H12" s="1"/>
      <c r="J12" s="14"/>
      <c r="K12" s="15"/>
      <c r="L12" s="15"/>
      <c r="M12" s="15"/>
      <c r="N12" s="15"/>
      <c r="O12" s="16"/>
      <c r="P12" s="15"/>
      <c r="Q12" s="17"/>
      <c r="R12" s="14"/>
      <c r="S12" s="14"/>
    </row>
    <row r="13" spans="2:19">
      <c r="B13" t="s">
        <v>56</v>
      </c>
      <c r="H13" s="1"/>
      <c r="J13" s="14"/>
      <c r="K13" s="14"/>
      <c r="L13" s="14"/>
      <c r="M13" s="14"/>
      <c r="N13" s="14"/>
      <c r="O13" s="14"/>
      <c r="P13" s="14"/>
      <c r="Q13" s="14"/>
      <c r="R13" s="14"/>
      <c r="S13" s="14"/>
    </row>
    <row r="14" spans="2:19" ht="20">
      <c r="B14" t="s">
        <v>57</v>
      </c>
      <c r="H14" s="1"/>
      <c r="J14" s="14"/>
      <c r="K14" s="15"/>
      <c r="L14" s="14"/>
      <c r="M14" s="14"/>
      <c r="N14" s="14"/>
      <c r="O14" s="16"/>
      <c r="P14" s="14"/>
      <c r="Q14" s="17"/>
      <c r="R14" s="14"/>
      <c r="S14" s="14"/>
    </row>
    <row r="15" spans="2:19" ht="20">
      <c r="B15" t="s">
        <v>58</v>
      </c>
      <c r="H15" s="1"/>
      <c r="J15" s="14"/>
      <c r="K15" s="15"/>
      <c r="L15" s="14"/>
      <c r="M15" s="14"/>
      <c r="N15" s="14"/>
      <c r="O15" s="16"/>
      <c r="P15" s="14"/>
      <c r="Q15" s="17"/>
      <c r="R15" s="14"/>
      <c r="S15" s="14"/>
    </row>
    <row r="16" spans="2:19">
      <c r="B16" t="s">
        <v>59</v>
      </c>
      <c r="J16" s="14"/>
      <c r="K16" s="14"/>
      <c r="L16" s="14"/>
      <c r="M16" s="14"/>
      <c r="N16" s="14"/>
      <c r="O16" s="14"/>
      <c r="P16" s="14"/>
      <c r="Q16" s="14"/>
      <c r="R16" s="14"/>
      <c r="S16" s="14"/>
    </row>
    <row r="17" spans="2:19">
      <c r="B17" t="s">
        <v>69</v>
      </c>
      <c r="J17" s="14"/>
      <c r="K17" s="14"/>
      <c r="L17" s="14"/>
      <c r="M17" s="14"/>
      <c r="N17" s="14"/>
      <c r="O17" s="14"/>
      <c r="P17" s="14"/>
      <c r="Q17" s="14"/>
      <c r="R17" s="14"/>
      <c r="S17" s="14"/>
    </row>
    <row r="18" spans="2:19">
      <c r="B18" t="s">
        <v>60</v>
      </c>
      <c r="J18" s="14"/>
      <c r="K18" s="14"/>
      <c r="L18" s="14"/>
      <c r="M18" s="14"/>
      <c r="N18" s="14"/>
      <c r="O18" s="14"/>
      <c r="P18" s="14"/>
      <c r="Q18" s="14"/>
      <c r="R18" s="14"/>
      <c r="S18" s="14"/>
    </row>
    <row r="19" spans="2:19">
      <c r="B19" t="s">
        <v>61</v>
      </c>
      <c r="J19" s="14"/>
      <c r="K19" s="14"/>
      <c r="L19" s="14"/>
      <c r="M19" s="14"/>
      <c r="N19" s="14"/>
      <c r="O19" s="14"/>
      <c r="P19" s="14"/>
      <c r="Q19" s="14"/>
      <c r="R19" s="14"/>
      <c r="S19" s="14"/>
    </row>
    <row r="20" spans="2:19">
      <c r="J20" s="14"/>
      <c r="K20" s="14"/>
      <c r="L20" s="14"/>
      <c r="M20" s="14"/>
      <c r="N20" s="14"/>
      <c r="O20" s="14"/>
      <c r="P20" s="14"/>
      <c r="Q20" s="14"/>
      <c r="R20" s="14"/>
      <c r="S20" s="14"/>
    </row>
    <row r="21" spans="2:19">
      <c r="J21" s="14"/>
      <c r="K21" s="14"/>
      <c r="L21" s="14"/>
      <c r="M21" s="14"/>
      <c r="N21" s="14"/>
      <c r="O21" s="14"/>
      <c r="P21" s="14"/>
      <c r="Q21" s="14"/>
      <c r="R21" s="14"/>
      <c r="S21" s="14"/>
    </row>
    <row r="22" spans="2:19">
      <c r="J22" s="14"/>
      <c r="K22" s="14"/>
      <c r="L22" s="14"/>
      <c r="M22" s="14"/>
      <c r="N22" s="14"/>
      <c r="O22" s="14"/>
      <c r="P22" s="14"/>
      <c r="Q22" s="14"/>
      <c r="R22" s="14"/>
      <c r="S22" s="14"/>
    </row>
    <row r="23" spans="2:19">
      <c r="J23" s="14"/>
      <c r="K23" s="14"/>
      <c r="L23" s="14"/>
      <c r="M23" s="14"/>
      <c r="N23" s="14"/>
      <c r="O23" s="14"/>
      <c r="P23" s="14"/>
      <c r="Q23" s="14"/>
      <c r="R23" s="14"/>
      <c r="S23" s="14"/>
    </row>
    <row r="24" spans="2:19">
      <c r="J24" s="14"/>
      <c r="K24" s="14"/>
      <c r="L24" s="14"/>
      <c r="M24" s="14"/>
      <c r="N24" s="14"/>
      <c r="O24" s="14"/>
      <c r="P24" s="14"/>
      <c r="Q24" s="14"/>
      <c r="R24" s="14"/>
      <c r="S24" s="14"/>
    </row>
    <row r="25" spans="2:19">
      <c r="J25" s="14"/>
      <c r="K25" s="14"/>
      <c r="L25" s="14"/>
      <c r="M25" s="14"/>
      <c r="N25" s="14"/>
      <c r="O25" s="14"/>
      <c r="P25" s="14"/>
      <c r="Q25" s="14"/>
      <c r="R25" s="14"/>
      <c r="S25" s="14"/>
    </row>
    <row r="26" spans="2:19">
      <c r="J26" s="14"/>
      <c r="K26" s="14"/>
      <c r="L26" s="14"/>
      <c r="M26" s="14"/>
      <c r="N26" s="14"/>
      <c r="O26" s="14"/>
      <c r="P26" s="14"/>
      <c r="Q26" s="14"/>
      <c r="R26" s="14"/>
      <c r="S26" s="14"/>
    </row>
    <row r="27" spans="2:19">
      <c r="J27" s="14"/>
      <c r="K27" s="14"/>
      <c r="L27" s="14"/>
      <c r="M27" s="14"/>
      <c r="N27" s="14"/>
      <c r="O27" s="14"/>
      <c r="P27" s="14"/>
      <c r="Q27" s="14"/>
      <c r="R27" s="14"/>
      <c r="S27" s="14"/>
    </row>
    <row r="28" spans="2:19">
      <c r="Q28" s="1"/>
    </row>
  </sheetData>
  <sheetProtection algorithmName="SHA-512" hashValue="GwgMVpPU3afTBdeqaKufZzpway81WQlhiyQ2c5RhT8KPT+ptg91zb2LP8j6bkTqtKe+auwum9XMrCEdTMH83NQ==" saltValue="Pm56FZMUskkRkEzmvAX6PA==" spinCount="100000" sheet="1" objects="1" scenarios="1"/>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484FE-E19E-8B4A-9DF8-CDDAD36B30E0}">
  <sheetPr codeName="Sheet20"/>
  <dimension ref="B3:AC238"/>
  <sheetViews>
    <sheetView workbookViewId="0">
      <selection activeCell="L38" sqref="L38"/>
    </sheetView>
  </sheetViews>
  <sheetFormatPr defaultColWidth="11" defaultRowHeight="15.5"/>
  <cols>
    <col min="2" max="2" width="15.08203125" bestFit="1" customWidth="1"/>
  </cols>
  <sheetData>
    <row r="3" spans="2:27">
      <c r="B3" t="s">
        <v>248</v>
      </c>
      <c r="E3" t="s">
        <v>249</v>
      </c>
    </row>
    <row r="4" spans="2:27">
      <c r="B4" t="s">
        <v>49</v>
      </c>
      <c r="C4">
        <f>'Exchange Rate data'!D7</f>
        <v>0.481236</v>
      </c>
      <c r="E4" t="s">
        <v>49</v>
      </c>
      <c r="F4">
        <f>'Exchange Rate data'!E7</f>
        <v>2.077985</v>
      </c>
    </row>
    <row r="5" spans="2:27">
      <c r="B5" t="s">
        <v>250</v>
      </c>
      <c r="C5">
        <f>'Exchange Rate data'!D5</f>
        <v>0.63464399999999999</v>
      </c>
      <c r="E5" t="s">
        <v>250</v>
      </c>
      <c r="F5">
        <f>'Exchange Rate data'!E5</f>
        <v>1.575685</v>
      </c>
    </row>
    <row r="6" spans="2:27">
      <c r="B6" t="s">
        <v>52</v>
      </c>
      <c r="C6">
        <f>'Exchange Rate data'!D9</f>
        <v>0.89680499999999996</v>
      </c>
      <c r="E6" t="s">
        <v>52</v>
      </c>
      <c r="F6">
        <f>'Exchange Rate data'!E9</f>
        <v>1.11507</v>
      </c>
      <c r="N6">
        <f>2.14-2.07</f>
        <v>7.0000000000000284E-2</v>
      </c>
      <c r="O6">
        <f>N6/100</f>
        <v>7.0000000000000281E-4</v>
      </c>
    </row>
    <row r="7" spans="2:27">
      <c r="B7" t="s">
        <v>34</v>
      </c>
      <c r="C7">
        <f>'Exchange Rate data'!D14</f>
        <v>4.6227070000000001</v>
      </c>
      <c r="E7" t="s">
        <v>34</v>
      </c>
      <c r="F7">
        <f>'Exchange Rate data'!E14</f>
        <v>0.21632299999999999</v>
      </c>
    </row>
    <row r="8" spans="2:27">
      <c r="B8" t="s">
        <v>53</v>
      </c>
      <c r="C8">
        <f>'Exchange Rate data'!D29</f>
        <v>0.57260500000000003</v>
      </c>
      <c r="E8" t="s">
        <v>53</v>
      </c>
      <c r="F8">
        <f>'Exchange Rate data'!E29</f>
        <v>1.746405</v>
      </c>
    </row>
    <row r="9" spans="2:27">
      <c r="B9" t="s">
        <v>246</v>
      </c>
      <c r="C9">
        <f>'Exchange Rate data'!D31</f>
        <v>229.62143399999999</v>
      </c>
      <c r="E9" t="s">
        <v>246</v>
      </c>
      <c r="F9">
        <f>'Exchange Rate data'!E31</f>
        <v>4.3550000000000004E-3</v>
      </c>
    </row>
    <row r="10" spans="2:27">
      <c r="B10" t="s">
        <v>55</v>
      </c>
      <c r="C10">
        <f>'Exchange Rate data'!D13</f>
        <v>93.001467000000005</v>
      </c>
      <c r="E10" t="s">
        <v>55</v>
      </c>
      <c r="F10">
        <f>'Exchange Rate data'!E13</f>
        <v>1.0753E-2</v>
      </c>
    </row>
    <row r="11" spans="2:27">
      <c r="B11" t="s">
        <v>251</v>
      </c>
      <c r="C11">
        <f>'Exchange Rate data'!D40</f>
        <v>0.19525400000000001</v>
      </c>
      <c r="E11" t="s">
        <v>251</v>
      </c>
      <c r="F11">
        <f>'Exchange Rate data'!E40</f>
        <v>5.1215320000000002</v>
      </c>
    </row>
    <row r="12" spans="2:27">
      <c r="B12" t="s">
        <v>58</v>
      </c>
      <c r="C12">
        <f>'Exchange Rate data'!D57</f>
        <v>11.938371999999999</v>
      </c>
      <c r="E12" t="s">
        <v>58</v>
      </c>
      <c r="F12">
        <f>'Exchange Rate data'!E10</f>
        <v>1.1796770000000001</v>
      </c>
    </row>
    <row r="16" spans="2:27">
      <c r="B16" t="s">
        <v>79</v>
      </c>
      <c r="C16" t="s">
        <v>49</v>
      </c>
      <c r="E16" t="s">
        <v>79</v>
      </c>
      <c r="F16" t="s">
        <v>250</v>
      </c>
      <c r="H16" t="s">
        <v>79</v>
      </c>
      <c r="I16" t="s">
        <v>52</v>
      </c>
      <c r="K16" t="s">
        <v>79</v>
      </c>
      <c r="L16" t="s">
        <v>34</v>
      </c>
      <c r="N16" t="s">
        <v>79</v>
      </c>
      <c r="O16" t="s">
        <v>53</v>
      </c>
      <c r="Q16" t="s">
        <v>79</v>
      </c>
      <c r="R16" t="s">
        <v>246</v>
      </c>
      <c r="T16" t="s">
        <v>79</v>
      </c>
      <c r="U16" t="s">
        <v>55</v>
      </c>
      <c r="W16" t="s">
        <v>79</v>
      </c>
      <c r="X16" t="s">
        <v>251</v>
      </c>
      <c r="Z16" t="s">
        <v>79</v>
      </c>
      <c r="AA16" t="s">
        <v>58</v>
      </c>
    </row>
    <row r="17" spans="2:27">
      <c r="B17">
        <v>0</v>
      </c>
      <c r="C17">
        <v>3.3</v>
      </c>
      <c r="E17">
        <v>0</v>
      </c>
      <c r="F17">
        <v>2.8</v>
      </c>
      <c r="H17">
        <v>0</v>
      </c>
      <c r="I17">
        <v>2.52</v>
      </c>
      <c r="K17">
        <v>0</v>
      </c>
      <c r="L17">
        <v>2.5</v>
      </c>
      <c r="N17">
        <v>0</v>
      </c>
      <c r="O17">
        <v>2.9</v>
      </c>
      <c r="Q17">
        <v>0</v>
      </c>
      <c r="R17">
        <v>1.9</v>
      </c>
      <c r="T17">
        <v>0</v>
      </c>
      <c r="U17">
        <v>2.4</v>
      </c>
      <c r="W17">
        <v>0</v>
      </c>
      <c r="X17">
        <v>3</v>
      </c>
      <c r="Z17">
        <v>0</v>
      </c>
      <c r="AA17">
        <v>4</v>
      </c>
    </row>
    <row r="18" spans="2:27">
      <c r="B18">
        <v>80</v>
      </c>
      <c r="C18">
        <v>3.3</v>
      </c>
      <c r="E18">
        <v>80</v>
      </c>
      <c r="F18">
        <v>2.8</v>
      </c>
      <c r="H18">
        <v>80</v>
      </c>
      <c r="I18">
        <v>2.52</v>
      </c>
      <c r="K18">
        <v>80</v>
      </c>
      <c r="L18">
        <v>2.5</v>
      </c>
      <c r="N18">
        <v>80</v>
      </c>
      <c r="O18">
        <v>2.9</v>
      </c>
      <c r="Q18">
        <v>80</v>
      </c>
      <c r="R18">
        <v>1.9</v>
      </c>
      <c r="T18">
        <v>80</v>
      </c>
      <c r="U18">
        <f>2.4</f>
        <v>2.4</v>
      </c>
      <c r="W18">
        <v>80</v>
      </c>
      <c r="X18">
        <v>3</v>
      </c>
      <c r="Z18">
        <v>80</v>
      </c>
      <c r="AA18">
        <v>4</v>
      </c>
    </row>
    <row r="19" spans="2:27">
      <c r="B19">
        <f>B18+1</f>
        <v>81</v>
      </c>
      <c r="C19">
        <f>C18-0.015</f>
        <v>3.2849999999999997</v>
      </c>
      <c r="E19">
        <f>E18+1</f>
        <v>81</v>
      </c>
      <c r="F19">
        <f>F18-0.005</f>
        <v>2.7949999999999999</v>
      </c>
      <c r="H19">
        <f>H18+1</f>
        <v>81</v>
      </c>
      <c r="I19">
        <f>I18-0.0085</f>
        <v>2.5114999999999998</v>
      </c>
      <c r="K19">
        <f>K18+1</f>
        <v>81</v>
      </c>
      <c r="L19">
        <v>2.5</v>
      </c>
      <c r="N19">
        <f>N18+1</f>
        <v>81</v>
      </c>
      <c r="O19">
        <f>O18-0.01</f>
        <v>2.89</v>
      </c>
      <c r="Q19">
        <f>Q18+1</f>
        <v>81</v>
      </c>
      <c r="R19">
        <f>R18-0.005</f>
        <v>1.895</v>
      </c>
      <c r="T19">
        <f>T18+1</f>
        <v>81</v>
      </c>
      <c r="U19">
        <f>U18-0.005</f>
        <v>2.395</v>
      </c>
      <c r="W19">
        <f>W18+1</f>
        <v>81</v>
      </c>
      <c r="X19">
        <f>X18-0.005</f>
        <v>2.9950000000000001</v>
      </c>
      <c r="Z19">
        <f>Z18+1</f>
        <v>81</v>
      </c>
      <c r="AA19">
        <f>AA18-0.03</f>
        <v>3.97</v>
      </c>
    </row>
    <row r="20" spans="2:27">
      <c r="B20">
        <f t="shared" ref="B20:B83" si="0">B19+1</f>
        <v>82</v>
      </c>
      <c r="C20">
        <f t="shared" ref="C20:C37" si="1">C19-0.015</f>
        <v>3.2699999999999996</v>
      </c>
      <c r="E20">
        <f t="shared" ref="E20:E83" si="2">E19+1</f>
        <v>82</v>
      </c>
      <c r="F20">
        <f t="shared" ref="F20:F37" si="3">F19-0.005</f>
        <v>2.79</v>
      </c>
      <c r="H20">
        <f t="shared" ref="H20:H83" si="4">H19+1</f>
        <v>82</v>
      </c>
      <c r="I20">
        <f t="shared" ref="I20:I37" si="5">I19-0.0085</f>
        <v>2.5029999999999997</v>
      </c>
      <c r="K20">
        <f t="shared" ref="K20:K83" si="6">K19+1</f>
        <v>82</v>
      </c>
      <c r="L20">
        <v>2.5</v>
      </c>
      <c r="N20">
        <f t="shared" ref="N20:N83" si="7">N19+1</f>
        <v>82</v>
      </c>
      <c r="O20">
        <f t="shared" ref="O20:O37" si="8">O19-0.01</f>
        <v>2.8800000000000003</v>
      </c>
      <c r="Q20">
        <f t="shared" ref="Q20:Q83" si="9">Q19+1</f>
        <v>82</v>
      </c>
      <c r="R20">
        <f t="shared" ref="R20:R37" si="10">R19-0.005</f>
        <v>1.8900000000000001</v>
      </c>
      <c r="T20">
        <f t="shared" ref="T20:T83" si="11">T19+1</f>
        <v>82</v>
      </c>
      <c r="U20">
        <f t="shared" ref="U20:U37" si="12">U19-0.005</f>
        <v>2.39</v>
      </c>
      <c r="W20">
        <f t="shared" ref="W20:W83" si="13">W19+1</f>
        <v>82</v>
      </c>
      <c r="X20">
        <f t="shared" ref="X20:X37" si="14">X19-0.005</f>
        <v>2.99</v>
      </c>
      <c r="Z20">
        <f t="shared" ref="Z20:Z83" si="15">Z19+1</f>
        <v>82</v>
      </c>
      <c r="AA20">
        <f t="shared" ref="AA20:AA37" si="16">AA19-0.03</f>
        <v>3.9400000000000004</v>
      </c>
    </row>
    <row r="21" spans="2:27">
      <c r="B21">
        <f t="shared" si="0"/>
        <v>83</v>
      </c>
      <c r="C21">
        <f t="shared" si="1"/>
        <v>3.2549999999999994</v>
      </c>
      <c r="E21">
        <f t="shared" si="2"/>
        <v>83</v>
      </c>
      <c r="F21">
        <f t="shared" si="3"/>
        <v>2.7850000000000001</v>
      </c>
      <c r="H21">
        <f t="shared" si="4"/>
        <v>83</v>
      </c>
      <c r="I21">
        <f t="shared" si="5"/>
        <v>2.4944999999999995</v>
      </c>
      <c r="K21">
        <f t="shared" si="6"/>
        <v>83</v>
      </c>
      <c r="L21">
        <v>2.5</v>
      </c>
      <c r="N21">
        <f t="shared" si="7"/>
        <v>83</v>
      </c>
      <c r="O21">
        <f t="shared" si="8"/>
        <v>2.8700000000000006</v>
      </c>
      <c r="Q21">
        <f t="shared" si="9"/>
        <v>83</v>
      </c>
      <c r="R21">
        <f t="shared" si="10"/>
        <v>1.8850000000000002</v>
      </c>
      <c r="T21">
        <f t="shared" si="11"/>
        <v>83</v>
      </c>
      <c r="U21">
        <f t="shared" si="12"/>
        <v>2.3850000000000002</v>
      </c>
      <c r="W21">
        <f t="shared" si="13"/>
        <v>83</v>
      </c>
      <c r="X21">
        <f t="shared" si="14"/>
        <v>2.9850000000000003</v>
      </c>
      <c r="Z21">
        <f t="shared" si="15"/>
        <v>83</v>
      </c>
      <c r="AA21">
        <f t="shared" si="16"/>
        <v>3.9100000000000006</v>
      </c>
    </row>
    <row r="22" spans="2:27">
      <c r="B22">
        <f t="shared" si="0"/>
        <v>84</v>
      </c>
      <c r="C22">
        <f t="shared" si="1"/>
        <v>3.2399999999999993</v>
      </c>
      <c r="E22">
        <f t="shared" si="2"/>
        <v>84</v>
      </c>
      <c r="F22">
        <f t="shared" si="3"/>
        <v>2.7800000000000002</v>
      </c>
      <c r="H22">
        <f t="shared" si="4"/>
        <v>84</v>
      </c>
      <c r="I22">
        <f t="shared" si="5"/>
        <v>2.4859999999999993</v>
      </c>
      <c r="K22">
        <f t="shared" si="6"/>
        <v>84</v>
      </c>
      <c r="L22">
        <v>2.5</v>
      </c>
      <c r="N22">
        <f t="shared" si="7"/>
        <v>84</v>
      </c>
      <c r="O22">
        <f t="shared" si="8"/>
        <v>2.8600000000000008</v>
      </c>
      <c r="Q22">
        <f t="shared" si="9"/>
        <v>84</v>
      </c>
      <c r="R22">
        <f t="shared" si="10"/>
        <v>1.8800000000000003</v>
      </c>
      <c r="T22">
        <f t="shared" si="11"/>
        <v>84</v>
      </c>
      <c r="U22">
        <f t="shared" si="12"/>
        <v>2.3800000000000003</v>
      </c>
      <c r="W22">
        <f t="shared" si="13"/>
        <v>84</v>
      </c>
      <c r="X22">
        <f t="shared" si="14"/>
        <v>2.9800000000000004</v>
      </c>
      <c r="Z22">
        <f t="shared" si="15"/>
        <v>84</v>
      </c>
      <c r="AA22">
        <f t="shared" si="16"/>
        <v>3.8800000000000008</v>
      </c>
    </row>
    <row r="23" spans="2:27">
      <c r="B23">
        <f t="shared" si="0"/>
        <v>85</v>
      </c>
      <c r="C23">
        <f t="shared" si="1"/>
        <v>3.2249999999999992</v>
      </c>
      <c r="E23">
        <f t="shared" si="2"/>
        <v>85</v>
      </c>
      <c r="F23">
        <f t="shared" si="3"/>
        <v>2.7750000000000004</v>
      </c>
      <c r="H23">
        <f t="shared" si="4"/>
        <v>85</v>
      </c>
      <c r="I23">
        <f t="shared" si="5"/>
        <v>2.4774999999999991</v>
      </c>
      <c r="K23">
        <f t="shared" si="6"/>
        <v>85</v>
      </c>
      <c r="L23">
        <v>2.5</v>
      </c>
      <c r="N23">
        <f t="shared" si="7"/>
        <v>85</v>
      </c>
      <c r="O23">
        <f t="shared" si="8"/>
        <v>2.850000000000001</v>
      </c>
      <c r="Q23">
        <f t="shared" si="9"/>
        <v>85</v>
      </c>
      <c r="R23">
        <f t="shared" si="10"/>
        <v>1.8750000000000004</v>
      </c>
      <c r="T23">
        <f t="shared" si="11"/>
        <v>85</v>
      </c>
      <c r="U23">
        <f t="shared" si="12"/>
        <v>2.3750000000000004</v>
      </c>
      <c r="W23">
        <f t="shared" si="13"/>
        <v>85</v>
      </c>
      <c r="X23">
        <f t="shared" si="14"/>
        <v>2.9750000000000005</v>
      </c>
      <c r="Z23">
        <f t="shared" si="15"/>
        <v>85</v>
      </c>
      <c r="AA23">
        <f t="shared" si="16"/>
        <v>3.850000000000001</v>
      </c>
    </row>
    <row r="24" spans="2:27">
      <c r="B24">
        <f t="shared" si="0"/>
        <v>86</v>
      </c>
      <c r="C24">
        <f t="shared" si="1"/>
        <v>3.2099999999999991</v>
      </c>
      <c r="E24">
        <f t="shared" si="2"/>
        <v>86</v>
      </c>
      <c r="F24">
        <f t="shared" si="3"/>
        <v>2.7700000000000005</v>
      </c>
      <c r="H24">
        <f t="shared" si="4"/>
        <v>86</v>
      </c>
      <c r="I24">
        <f t="shared" si="5"/>
        <v>2.468999999999999</v>
      </c>
      <c r="K24">
        <f t="shared" si="6"/>
        <v>86</v>
      </c>
      <c r="L24">
        <v>2.5</v>
      </c>
      <c r="N24">
        <f t="shared" si="7"/>
        <v>86</v>
      </c>
      <c r="O24">
        <f t="shared" si="8"/>
        <v>2.8400000000000012</v>
      </c>
      <c r="Q24">
        <f t="shared" si="9"/>
        <v>86</v>
      </c>
      <c r="R24">
        <f t="shared" si="10"/>
        <v>1.8700000000000006</v>
      </c>
      <c r="T24">
        <f t="shared" si="11"/>
        <v>86</v>
      </c>
      <c r="U24">
        <f t="shared" si="12"/>
        <v>2.3700000000000006</v>
      </c>
      <c r="W24">
        <f t="shared" si="13"/>
        <v>86</v>
      </c>
      <c r="X24">
        <f t="shared" si="14"/>
        <v>2.9700000000000006</v>
      </c>
      <c r="Z24">
        <f t="shared" si="15"/>
        <v>86</v>
      </c>
      <c r="AA24">
        <f t="shared" si="16"/>
        <v>3.8200000000000012</v>
      </c>
    </row>
    <row r="25" spans="2:27">
      <c r="B25">
        <f t="shared" si="0"/>
        <v>87</v>
      </c>
      <c r="C25">
        <f t="shared" si="1"/>
        <v>3.194999999999999</v>
      </c>
      <c r="E25">
        <f t="shared" si="2"/>
        <v>87</v>
      </c>
      <c r="F25">
        <f t="shared" si="3"/>
        <v>2.7650000000000006</v>
      </c>
      <c r="H25">
        <f t="shared" si="4"/>
        <v>87</v>
      </c>
      <c r="I25">
        <f t="shared" si="5"/>
        <v>2.4604999999999988</v>
      </c>
      <c r="K25">
        <f t="shared" si="6"/>
        <v>87</v>
      </c>
      <c r="L25">
        <v>2.5</v>
      </c>
      <c r="N25">
        <f t="shared" si="7"/>
        <v>87</v>
      </c>
      <c r="O25">
        <f t="shared" si="8"/>
        <v>2.8300000000000014</v>
      </c>
      <c r="Q25">
        <f t="shared" si="9"/>
        <v>87</v>
      </c>
      <c r="R25">
        <f t="shared" si="10"/>
        <v>1.8650000000000007</v>
      </c>
      <c r="T25">
        <f t="shared" si="11"/>
        <v>87</v>
      </c>
      <c r="U25">
        <f t="shared" si="12"/>
        <v>2.3650000000000007</v>
      </c>
      <c r="W25">
        <f t="shared" si="13"/>
        <v>87</v>
      </c>
      <c r="X25">
        <f t="shared" si="14"/>
        <v>2.9650000000000007</v>
      </c>
      <c r="Z25">
        <f t="shared" si="15"/>
        <v>87</v>
      </c>
      <c r="AA25">
        <f t="shared" si="16"/>
        <v>3.7900000000000014</v>
      </c>
    </row>
    <row r="26" spans="2:27">
      <c r="B26">
        <f t="shared" si="0"/>
        <v>88</v>
      </c>
      <c r="C26">
        <f t="shared" si="1"/>
        <v>3.1799999999999988</v>
      </c>
      <c r="E26">
        <f t="shared" si="2"/>
        <v>88</v>
      </c>
      <c r="F26">
        <f t="shared" si="3"/>
        <v>2.7600000000000007</v>
      </c>
      <c r="H26">
        <f t="shared" si="4"/>
        <v>88</v>
      </c>
      <c r="I26">
        <f t="shared" si="5"/>
        <v>2.4519999999999986</v>
      </c>
      <c r="K26">
        <f t="shared" si="6"/>
        <v>88</v>
      </c>
      <c r="L26">
        <v>2.5</v>
      </c>
      <c r="N26">
        <f t="shared" si="7"/>
        <v>88</v>
      </c>
      <c r="O26">
        <f t="shared" si="8"/>
        <v>2.8200000000000016</v>
      </c>
      <c r="Q26">
        <f t="shared" si="9"/>
        <v>88</v>
      </c>
      <c r="R26">
        <f t="shared" si="10"/>
        <v>1.8600000000000008</v>
      </c>
      <c r="T26">
        <f t="shared" si="11"/>
        <v>88</v>
      </c>
      <c r="U26">
        <f t="shared" si="12"/>
        <v>2.3600000000000008</v>
      </c>
      <c r="W26">
        <f t="shared" si="13"/>
        <v>88</v>
      </c>
      <c r="X26">
        <f t="shared" si="14"/>
        <v>2.9600000000000009</v>
      </c>
      <c r="Z26">
        <f t="shared" si="15"/>
        <v>88</v>
      </c>
      <c r="AA26">
        <f t="shared" si="16"/>
        <v>3.7600000000000016</v>
      </c>
    </row>
    <row r="27" spans="2:27">
      <c r="B27">
        <f t="shared" si="0"/>
        <v>89</v>
      </c>
      <c r="C27">
        <f t="shared" si="1"/>
        <v>3.1649999999999987</v>
      </c>
      <c r="E27">
        <f t="shared" si="2"/>
        <v>89</v>
      </c>
      <c r="F27">
        <f t="shared" si="3"/>
        <v>2.7550000000000008</v>
      </c>
      <c r="H27">
        <f t="shared" si="4"/>
        <v>89</v>
      </c>
      <c r="I27">
        <f t="shared" si="5"/>
        <v>2.4434999999999985</v>
      </c>
      <c r="K27">
        <f t="shared" si="6"/>
        <v>89</v>
      </c>
      <c r="L27">
        <v>2.5</v>
      </c>
      <c r="N27">
        <f t="shared" si="7"/>
        <v>89</v>
      </c>
      <c r="O27">
        <f t="shared" si="8"/>
        <v>2.8100000000000018</v>
      </c>
      <c r="Q27">
        <f t="shared" si="9"/>
        <v>89</v>
      </c>
      <c r="R27">
        <f t="shared" si="10"/>
        <v>1.8550000000000009</v>
      </c>
      <c r="T27">
        <f t="shared" si="11"/>
        <v>89</v>
      </c>
      <c r="U27">
        <f t="shared" si="12"/>
        <v>2.3550000000000009</v>
      </c>
      <c r="W27">
        <f t="shared" si="13"/>
        <v>89</v>
      </c>
      <c r="X27">
        <f t="shared" si="14"/>
        <v>2.955000000000001</v>
      </c>
      <c r="Z27">
        <f t="shared" si="15"/>
        <v>89</v>
      </c>
      <c r="AA27">
        <f t="shared" si="16"/>
        <v>3.7300000000000018</v>
      </c>
    </row>
    <row r="28" spans="2:27">
      <c r="B28">
        <f t="shared" si="0"/>
        <v>90</v>
      </c>
      <c r="C28">
        <f t="shared" si="1"/>
        <v>3.1499999999999986</v>
      </c>
      <c r="E28">
        <f t="shared" si="2"/>
        <v>90</v>
      </c>
      <c r="F28">
        <f t="shared" si="3"/>
        <v>2.7500000000000009</v>
      </c>
      <c r="H28">
        <f t="shared" si="4"/>
        <v>90</v>
      </c>
      <c r="I28">
        <f t="shared" si="5"/>
        <v>2.4349999999999983</v>
      </c>
      <c r="K28">
        <f t="shared" si="6"/>
        <v>90</v>
      </c>
      <c r="L28">
        <v>2.5</v>
      </c>
      <c r="N28">
        <f t="shared" si="7"/>
        <v>90</v>
      </c>
      <c r="O28">
        <f t="shared" si="8"/>
        <v>2.800000000000002</v>
      </c>
      <c r="Q28">
        <f t="shared" si="9"/>
        <v>90</v>
      </c>
      <c r="R28">
        <f t="shared" si="10"/>
        <v>1.850000000000001</v>
      </c>
      <c r="T28">
        <f t="shared" si="11"/>
        <v>90</v>
      </c>
      <c r="U28">
        <f t="shared" si="12"/>
        <v>2.350000000000001</v>
      </c>
      <c r="W28">
        <f t="shared" si="13"/>
        <v>90</v>
      </c>
      <c r="X28">
        <f t="shared" si="14"/>
        <v>2.9500000000000011</v>
      </c>
      <c r="Z28">
        <f t="shared" si="15"/>
        <v>90</v>
      </c>
      <c r="AA28">
        <f t="shared" si="16"/>
        <v>3.700000000000002</v>
      </c>
    </row>
    <row r="29" spans="2:27">
      <c r="B29">
        <f t="shared" si="0"/>
        <v>91</v>
      </c>
      <c r="C29">
        <f t="shared" si="1"/>
        <v>3.1349999999999985</v>
      </c>
      <c r="E29">
        <f t="shared" si="2"/>
        <v>91</v>
      </c>
      <c r="F29">
        <f t="shared" si="3"/>
        <v>2.745000000000001</v>
      </c>
      <c r="H29">
        <f t="shared" si="4"/>
        <v>91</v>
      </c>
      <c r="I29">
        <f t="shared" si="5"/>
        <v>2.4264999999999981</v>
      </c>
      <c r="K29">
        <f t="shared" si="6"/>
        <v>91</v>
      </c>
      <c r="L29">
        <v>2.5</v>
      </c>
      <c r="N29">
        <f t="shared" si="7"/>
        <v>91</v>
      </c>
      <c r="O29">
        <f t="shared" si="8"/>
        <v>2.7900000000000023</v>
      </c>
      <c r="Q29">
        <f t="shared" si="9"/>
        <v>91</v>
      </c>
      <c r="R29">
        <f t="shared" si="10"/>
        <v>1.8450000000000011</v>
      </c>
      <c r="T29">
        <f t="shared" si="11"/>
        <v>91</v>
      </c>
      <c r="U29">
        <f t="shared" si="12"/>
        <v>2.3450000000000011</v>
      </c>
      <c r="W29">
        <f t="shared" si="13"/>
        <v>91</v>
      </c>
      <c r="X29">
        <f t="shared" si="14"/>
        <v>2.9450000000000012</v>
      </c>
      <c r="Z29">
        <f t="shared" si="15"/>
        <v>91</v>
      </c>
      <c r="AA29">
        <f t="shared" si="16"/>
        <v>3.6700000000000021</v>
      </c>
    </row>
    <row r="30" spans="2:27">
      <c r="B30">
        <f t="shared" si="0"/>
        <v>92</v>
      </c>
      <c r="C30">
        <f t="shared" si="1"/>
        <v>3.1199999999999983</v>
      </c>
      <c r="E30">
        <f t="shared" si="2"/>
        <v>92</v>
      </c>
      <c r="F30">
        <f t="shared" si="3"/>
        <v>2.7400000000000011</v>
      </c>
      <c r="H30">
        <f t="shared" si="4"/>
        <v>92</v>
      </c>
      <c r="I30">
        <f t="shared" si="5"/>
        <v>2.4179999999999979</v>
      </c>
      <c r="K30">
        <f t="shared" si="6"/>
        <v>92</v>
      </c>
      <c r="L30">
        <v>2.5</v>
      </c>
      <c r="N30">
        <f t="shared" si="7"/>
        <v>92</v>
      </c>
      <c r="O30">
        <f t="shared" si="8"/>
        <v>2.7800000000000025</v>
      </c>
      <c r="Q30">
        <f t="shared" si="9"/>
        <v>92</v>
      </c>
      <c r="R30">
        <f t="shared" si="10"/>
        <v>1.8400000000000012</v>
      </c>
      <c r="T30">
        <f t="shared" si="11"/>
        <v>92</v>
      </c>
      <c r="U30">
        <f t="shared" si="12"/>
        <v>2.3400000000000012</v>
      </c>
      <c r="W30">
        <f t="shared" si="13"/>
        <v>92</v>
      </c>
      <c r="X30">
        <f t="shared" si="14"/>
        <v>2.9400000000000013</v>
      </c>
      <c r="Z30">
        <f t="shared" si="15"/>
        <v>92</v>
      </c>
      <c r="AA30">
        <f t="shared" si="16"/>
        <v>3.6400000000000023</v>
      </c>
    </row>
    <row r="31" spans="2:27">
      <c r="B31">
        <f t="shared" si="0"/>
        <v>93</v>
      </c>
      <c r="C31">
        <f t="shared" si="1"/>
        <v>3.1049999999999982</v>
      </c>
      <c r="E31">
        <f t="shared" si="2"/>
        <v>93</v>
      </c>
      <c r="F31">
        <f t="shared" si="3"/>
        <v>2.7350000000000012</v>
      </c>
      <c r="H31">
        <f t="shared" si="4"/>
        <v>93</v>
      </c>
      <c r="I31">
        <f t="shared" si="5"/>
        <v>2.4094999999999978</v>
      </c>
      <c r="K31">
        <f t="shared" si="6"/>
        <v>93</v>
      </c>
      <c r="L31">
        <v>2.5</v>
      </c>
      <c r="N31">
        <f t="shared" si="7"/>
        <v>93</v>
      </c>
      <c r="O31">
        <f t="shared" si="8"/>
        <v>2.7700000000000027</v>
      </c>
      <c r="Q31">
        <f t="shared" si="9"/>
        <v>93</v>
      </c>
      <c r="R31">
        <f t="shared" si="10"/>
        <v>1.8350000000000013</v>
      </c>
      <c r="T31">
        <f t="shared" si="11"/>
        <v>93</v>
      </c>
      <c r="U31">
        <f t="shared" si="12"/>
        <v>2.3350000000000013</v>
      </c>
      <c r="W31">
        <f t="shared" si="13"/>
        <v>93</v>
      </c>
      <c r="X31">
        <f t="shared" si="14"/>
        <v>2.9350000000000014</v>
      </c>
      <c r="Z31">
        <f t="shared" si="15"/>
        <v>93</v>
      </c>
      <c r="AA31">
        <f t="shared" si="16"/>
        <v>3.6100000000000025</v>
      </c>
    </row>
    <row r="32" spans="2:27">
      <c r="B32">
        <f t="shared" si="0"/>
        <v>94</v>
      </c>
      <c r="C32">
        <f t="shared" si="1"/>
        <v>3.0899999999999981</v>
      </c>
      <c r="E32">
        <f t="shared" si="2"/>
        <v>94</v>
      </c>
      <c r="F32">
        <f t="shared" si="3"/>
        <v>2.7300000000000013</v>
      </c>
      <c r="H32">
        <f t="shared" si="4"/>
        <v>94</v>
      </c>
      <c r="I32">
        <f t="shared" si="5"/>
        <v>2.4009999999999976</v>
      </c>
      <c r="K32">
        <f t="shared" si="6"/>
        <v>94</v>
      </c>
      <c r="L32">
        <v>2.5</v>
      </c>
      <c r="N32">
        <f t="shared" si="7"/>
        <v>94</v>
      </c>
      <c r="O32">
        <f t="shared" si="8"/>
        <v>2.7600000000000029</v>
      </c>
      <c r="Q32">
        <f t="shared" si="9"/>
        <v>94</v>
      </c>
      <c r="R32">
        <f t="shared" si="10"/>
        <v>1.8300000000000014</v>
      </c>
      <c r="T32">
        <f t="shared" si="11"/>
        <v>94</v>
      </c>
      <c r="U32">
        <f t="shared" si="12"/>
        <v>2.3300000000000014</v>
      </c>
      <c r="W32">
        <f t="shared" si="13"/>
        <v>94</v>
      </c>
      <c r="X32">
        <f t="shared" si="14"/>
        <v>2.9300000000000015</v>
      </c>
      <c r="Z32">
        <f t="shared" si="15"/>
        <v>94</v>
      </c>
      <c r="AA32">
        <f t="shared" si="16"/>
        <v>3.5800000000000027</v>
      </c>
    </row>
    <row r="33" spans="2:29">
      <c r="B33">
        <f t="shared" si="0"/>
        <v>95</v>
      </c>
      <c r="C33">
        <f t="shared" si="1"/>
        <v>3.074999999999998</v>
      </c>
      <c r="E33">
        <f t="shared" si="2"/>
        <v>95</v>
      </c>
      <c r="F33">
        <f t="shared" si="3"/>
        <v>2.7250000000000014</v>
      </c>
      <c r="H33">
        <f t="shared" si="4"/>
        <v>95</v>
      </c>
      <c r="I33">
        <f t="shared" si="5"/>
        <v>2.3924999999999974</v>
      </c>
      <c r="K33">
        <f t="shared" si="6"/>
        <v>95</v>
      </c>
      <c r="L33">
        <v>2.5</v>
      </c>
      <c r="N33">
        <f t="shared" si="7"/>
        <v>95</v>
      </c>
      <c r="O33">
        <f t="shared" si="8"/>
        <v>2.7500000000000031</v>
      </c>
      <c r="Q33">
        <f t="shared" si="9"/>
        <v>95</v>
      </c>
      <c r="R33">
        <f t="shared" si="10"/>
        <v>1.8250000000000015</v>
      </c>
      <c r="T33">
        <f t="shared" si="11"/>
        <v>95</v>
      </c>
      <c r="U33">
        <f t="shared" si="12"/>
        <v>2.3250000000000015</v>
      </c>
      <c r="W33">
        <f t="shared" si="13"/>
        <v>95</v>
      </c>
      <c r="X33">
        <f t="shared" si="14"/>
        <v>2.9250000000000016</v>
      </c>
      <c r="Z33">
        <f t="shared" si="15"/>
        <v>95</v>
      </c>
      <c r="AA33">
        <f t="shared" si="16"/>
        <v>3.5500000000000029</v>
      </c>
    </row>
    <row r="34" spans="2:29">
      <c r="B34">
        <f t="shared" si="0"/>
        <v>96</v>
      </c>
      <c r="C34">
        <f t="shared" si="1"/>
        <v>3.0599999999999978</v>
      </c>
      <c r="E34">
        <f t="shared" si="2"/>
        <v>96</v>
      </c>
      <c r="F34">
        <f t="shared" si="3"/>
        <v>2.7200000000000015</v>
      </c>
      <c r="H34">
        <f t="shared" si="4"/>
        <v>96</v>
      </c>
      <c r="I34">
        <f t="shared" si="5"/>
        <v>2.3839999999999972</v>
      </c>
      <c r="K34">
        <f t="shared" si="6"/>
        <v>96</v>
      </c>
      <c r="L34">
        <v>2.5</v>
      </c>
      <c r="N34">
        <f t="shared" si="7"/>
        <v>96</v>
      </c>
      <c r="O34">
        <f t="shared" si="8"/>
        <v>2.7400000000000033</v>
      </c>
      <c r="Q34">
        <f t="shared" si="9"/>
        <v>96</v>
      </c>
      <c r="R34">
        <f t="shared" si="10"/>
        <v>1.8200000000000016</v>
      </c>
      <c r="T34">
        <f t="shared" si="11"/>
        <v>96</v>
      </c>
      <c r="U34">
        <f t="shared" si="12"/>
        <v>2.3200000000000016</v>
      </c>
      <c r="W34">
        <f t="shared" si="13"/>
        <v>96</v>
      </c>
      <c r="X34">
        <f t="shared" si="14"/>
        <v>2.9200000000000017</v>
      </c>
      <c r="Z34">
        <f t="shared" si="15"/>
        <v>96</v>
      </c>
      <c r="AA34">
        <f t="shared" si="16"/>
        <v>3.5200000000000031</v>
      </c>
    </row>
    <row r="35" spans="2:29">
      <c r="B35">
        <f t="shared" si="0"/>
        <v>97</v>
      </c>
      <c r="C35">
        <f>C34-0.015</f>
        <v>3.0449999999999977</v>
      </c>
      <c r="E35">
        <f t="shared" si="2"/>
        <v>97</v>
      </c>
      <c r="F35">
        <f t="shared" si="3"/>
        <v>2.7150000000000016</v>
      </c>
      <c r="H35">
        <f t="shared" si="4"/>
        <v>97</v>
      </c>
      <c r="I35">
        <f t="shared" si="5"/>
        <v>2.3754999999999971</v>
      </c>
      <c r="K35">
        <f t="shared" si="6"/>
        <v>97</v>
      </c>
      <c r="L35">
        <v>2.5</v>
      </c>
      <c r="N35">
        <f t="shared" si="7"/>
        <v>97</v>
      </c>
      <c r="O35">
        <f t="shared" si="8"/>
        <v>2.7300000000000035</v>
      </c>
      <c r="Q35">
        <f t="shared" si="9"/>
        <v>97</v>
      </c>
      <c r="R35">
        <f t="shared" si="10"/>
        <v>1.8150000000000017</v>
      </c>
      <c r="T35">
        <f t="shared" si="11"/>
        <v>97</v>
      </c>
      <c r="U35">
        <f t="shared" si="12"/>
        <v>2.3150000000000017</v>
      </c>
      <c r="W35">
        <f t="shared" si="13"/>
        <v>97</v>
      </c>
      <c r="X35">
        <f t="shared" si="14"/>
        <v>2.9150000000000018</v>
      </c>
      <c r="Z35">
        <f t="shared" si="15"/>
        <v>97</v>
      </c>
      <c r="AA35">
        <f t="shared" si="16"/>
        <v>3.4900000000000033</v>
      </c>
    </row>
    <row r="36" spans="2:29">
      <c r="B36">
        <f t="shared" si="0"/>
        <v>98</v>
      </c>
      <c r="C36">
        <f t="shared" si="1"/>
        <v>3.0299999999999976</v>
      </c>
      <c r="E36">
        <f t="shared" si="2"/>
        <v>98</v>
      </c>
      <c r="F36">
        <f t="shared" si="3"/>
        <v>2.7100000000000017</v>
      </c>
      <c r="H36">
        <f t="shared" si="4"/>
        <v>98</v>
      </c>
      <c r="I36">
        <f t="shared" si="5"/>
        <v>2.3669999999999969</v>
      </c>
      <c r="K36">
        <f t="shared" si="6"/>
        <v>98</v>
      </c>
      <c r="L36">
        <v>2.5</v>
      </c>
      <c r="N36">
        <f t="shared" si="7"/>
        <v>98</v>
      </c>
      <c r="O36">
        <f t="shared" si="8"/>
        <v>2.7200000000000037</v>
      </c>
      <c r="Q36">
        <f t="shared" si="9"/>
        <v>98</v>
      </c>
      <c r="R36">
        <f t="shared" si="10"/>
        <v>1.8100000000000018</v>
      </c>
      <c r="T36">
        <f t="shared" si="11"/>
        <v>98</v>
      </c>
      <c r="U36">
        <f t="shared" si="12"/>
        <v>2.3100000000000018</v>
      </c>
      <c r="W36">
        <f t="shared" si="13"/>
        <v>98</v>
      </c>
      <c r="X36">
        <f t="shared" si="14"/>
        <v>2.9100000000000019</v>
      </c>
      <c r="Z36">
        <f t="shared" si="15"/>
        <v>98</v>
      </c>
      <c r="AA36">
        <f t="shared" si="16"/>
        <v>3.4600000000000035</v>
      </c>
    </row>
    <row r="37" spans="2:29">
      <c r="B37">
        <f t="shared" si="0"/>
        <v>99</v>
      </c>
      <c r="C37">
        <f t="shared" si="1"/>
        <v>3.0149999999999975</v>
      </c>
      <c r="E37">
        <f t="shared" si="2"/>
        <v>99</v>
      </c>
      <c r="F37">
        <f t="shared" si="3"/>
        <v>2.7050000000000018</v>
      </c>
      <c r="H37">
        <f t="shared" si="4"/>
        <v>99</v>
      </c>
      <c r="I37">
        <f t="shared" si="5"/>
        <v>2.3584999999999967</v>
      </c>
      <c r="K37">
        <f t="shared" si="6"/>
        <v>99</v>
      </c>
      <c r="L37">
        <v>2.5</v>
      </c>
      <c r="N37">
        <f t="shared" si="7"/>
        <v>99</v>
      </c>
      <c r="O37">
        <f t="shared" si="8"/>
        <v>2.710000000000004</v>
      </c>
      <c r="Q37">
        <f t="shared" si="9"/>
        <v>99</v>
      </c>
      <c r="R37">
        <f t="shared" si="10"/>
        <v>1.8050000000000019</v>
      </c>
      <c r="T37">
        <f t="shared" si="11"/>
        <v>99</v>
      </c>
      <c r="U37">
        <f t="shared" si="12"/>
        <v>2.3050000000000019</v>
      </c>
      <c r="W37">
        <f t="shared" si="13"/>
        <v>99</v>
      </c>
      <c r="X37">
        <f t="shared" si="14"/>
        <v>2.905000000000002</v>
      </c>
      <c r="Z37">
        <f t="shared" si="15"/>
        <v>99</v>
      </c>
      <c r="AA37">
        <f t="shared" si="16"/>
        <v>3.4300000000000037</v>
      </c>
    </row>
    <row r="38" spans="2:29">
      <c r="B38">
        <f t="shared" si="0"/>
        <v>100</v>
      </c>
      <c r="C38">
        <v>3</v>
      </c>
      <c r="E38">
        <f t="shared" si="2"/>
        <v>100</v>
      </c>
      <c r="F38">
        <v>2.7</v>
      </c>
      <c r="H38">
        <f t="shared" si="4"/>
        <v>100</v>
      </c>
      <c r="I38">
        <v>2.35</v>
      </c>
      <c r="K38">
        <f t="shared" si="6"/>
        <v>100</v>
      </c>
      <c r="L38">
        <v>2.5</v>
      </c>
      <c r="N38">
        <f t="shared" si="7"/>
        <v>100</v>
      </c>
      <c r="O38">
        <v>2.7</v>
      </c>
      <c r="Q38">
        <f t="shared" si="9"/>
        <v>100</v>
      </c>
      <c r="R38">
        <v>1.8</v>
      </c>
      <c r="T38">
        <f t="shared" si="11"/>
        <v>100</v>
      </c>
      <c r="U38">
        <v>2.2999999999999998</v>
      </c>
      <c r="W38">
        <f t="shared" si="13"/>
        <v>100</v>
      </c>
      <c r="X38">
        <v>2.9</v>
      </c>
      <c r="Z38">
        <f t="shared" si="15"/>
        <v>100</v>
      </c>
      <c r="AA38">
        <v>3.4</v>
      </c>
      <c r="AC38">
        <f>0.4/50</f>
        <v>8.0000000000000002E-3</v>
      </c>
    </row>
    <row r="39" spans="2:29">
      <c r="B39">
        <f t="shared" si="0"/>
        <v>101</v>
      </c>
      <c r="C39">
        <f>C38-0.006</f>
        <v>2.9940000000000002</v>
      </c>
      <c r="E39">
        <f t="shared" si="2"/>
        <v>101</v>
      </c>
      <c r="F39">
        <f>F38-0.002</f>
        <v>2.6980000000000004</v>
      </c>
      <c r="H39">
        <f t="shared" si="4"/>
        <v>101</v>
      </c>
      <c r="I39">
        <f>I38-0.0028</f>
        <v>2.3472</v>
      </c>
      <c r="K39">
        <f t="shared" si="6"/>
        <v>101</v>
      </c>
      <c r="L39">
        <f>L38-0.002</f>
        <v>2.4980000000000002</v>
      </c>
      <c r="N39">
        <f t="shared" si="7"/>
        <v>101</v>
      </c>
      <c r="O39">
        <f>O38-0.004</f>
        <v>2.6960000000000002</v>
      </c>
      <c r="Q39">
        <f t="shared" si="9"/>
        <v>101</v>
      </c>
      <c r="R39">
        <v>1.8</v>
      </c>
      <c r="T39">
        <f t="shared" si="11"/>
        <v>101</v>
      </c>
      <c r="U39">
        <f>U38-0.002</f>
        <v>2.298</v>
      </c>
      <c r="W39">
        <f t="shared" si="13"/>
        <v>101</v>
      </c>
      <c r="X39">
        <f>X38-0.002</f>
        <v>2.8980000000000001</v>
      </c>
      <c r="Z39">
        <f t="shared" si="15"/>
        <v>101</v>
      </c>
      <c r="AA39">
        <f>AA38-0.008</f>
        <v>3.3919999999999999</v>
      </c>
    </row>
    <row r="40" spans="2:29">
      <c r="B40">
        <f t="shared" si="0"/>
        <v>102</v>
      </c>
      <c r="C40">
        <f t="shared" ref="C40:C87" si="17">C39-0.006</f>
        <v>2.9880000000000004</v>
      </c>
      <c r="E40">
        <f t="shared" si="2"/>
        <v>102</v>
      </c>
      <c r="F40">
        <f t="shared" ref="F40:F87" si="18">F39-0.002</f>
        <v>2.6960000000000006</v>
      </c>
      <c r="H40">
        <f t="shared" si="4"/>
        <v>102</v>
      </c>
      <c r="I40">
        <f t="shared" ref="I40:I87" si="19">I39-0.0028</f>
        <v>2.3443999999999998</v>
      </c>
      <c r="K40">
        <f t="shared" si="6"/>
        <v>102</v>
      </c>
      <c r="L40">
        <f t="shared" ref="L40:L87" si="20">L39-0.002</f>
        <v>2.4960000000000004</v>
      </c>
      <c r="N40">
        <f t="shared" si="7"/>
        <v>102</v>
      </c>
      <c r="O40">
        <f t="shared" ref="O40:O87" si="21">O39-0.004</f>
        <v>2.6920000000000002</v>
      </c>
      <c r="Q40">
        <f t="shared" si="9"/>
        <v>102</v>
      </c>
      <c r="R40">
        <v>1.8</v>
      </c>
      <c r="T40">
        <f t="shared" si="11"/>
        <v>102</v>
      </c>
      <c r="U40">
        <f t="shared" ref="U40:U87" si="22">U39-0.002</f>
        <v>2.2960000000000003</v>
      </c>
      <c r="W40">
        <f t="shared" si="13"/>
        <v>102</v>
      </c>
      <c r="X40">
        <f t="shared" ref="X40:X87" si="23">X39-0.002</f>
        <v>2.8960000000000004</v>
      </c>
      <c r="Z40">
        <f t="shared" si="15"/>
        <v>102</v>
      </c>
      <c r="AA40">
        <f t="shared" ref="AA40:AA87" si="24">AA39-0.008</f>
        <v>3.3839999999999999</v>
      </c>
    </row>
    <row r="41" spans="2:29">
      <c r="B41">
        <f t="shared" si="0"/>
        <v>103</v>
      </c>
      <c r="C41">
        <f t="shared" si="17"/>
        <v>2.9820000000000007</v>
      </c>
      <c r="E41">
        <f t="shared" si="2"/>
        <v>103</v>
      </c>
      <c r="F41">
        <f t="shared" si="18"/>
        <v>2.6940000000000008</v>
      </c>
      <c r="H41">
        <f t="shared" si="4"/>
        <v>103</v>
      </c>
      <c r="I41">
        <f t="shared" si="19"/>
        <v>2.3415999999999997</v>
      </c>
      <c r="K41">
        <f t="shared" si="6"/>
        <v>103</v>
      </c>
      <c r="L41">
        <f t="shared" si="20"/>
        <v>2.4940000000000007</v>
      </c>
      <c r="N41">
        <f t="shared" si="7"/>
        <v>103</v>
      </c>
      <c r="O41">
        <f t="shared" si="21"/>
        <v>2.6880000000000002</v>
      </c>
      <c r="Q41">
        <f t="shared" si="9"/>
        <v>103</v>
      </c>
      <c r="R41">
        <v>1.8</v>
      </c>
      <c r="T41">
        <f t="shared" si="11"/>
        <v>103</v>
      </c>
      <c r="U41">
        <f t="shared" si="22"/>
        <v>2.2940000000000005</v>
      </c>
      <c r="W41">
        <f t="shared" si="13"/>
        <v>103</v>
      </c>
      <c r="X41">
        <f t="shared" si="23"/>
        <v>2.8940000000000006</v>
      </c>
      <c r="Z41">
        <f t="shared" si="15"/>
        <v>103</v>
      </c>
      <c r="AA41">
        <f t="shared" si="24"/>
        <v>3.3759999999999999</v>
      </c>
    </row>
    <row r="42" spans="2:29">
      <c r="B42">
        <f t="shared" si="0"/>
        <v>104</v>
      </c>
      <c r="C42">
        <f t="shared" si="17"/>
        <v>2.9760000000000009</v>
      </c>
      <c r="E42">
        <f t="shared" si="2"/>
        <v>104</v>
      </c>
      <c r="F42">
        <f t="shared" si="18"/>
        <v>2.6920000000000011</v>
      </c>
      <c r="H42">
        <f t="shared" si="4"/>
        <v>104</v>
      </c>
      <c r="I42">
        <f t="shared" si="19"/>
        <v>2.3387999999999995</v>
      </c>
      <c r="K42">
        <f t="shared" si="6"/>
        <v>104</v>
      </c>
      <c r="L42">
        <f t="shared" si="20"/>
        <v>2.4920000000000009</v>
      </c>
      <c r="N42">
        <f t="shared" si="7"/>
        <v>104</v>
      </c>
      <c r="O42">
        <f t="shared" si="21"/>
        <v>2.6840000000000002</v>
      </c>
      <c r="Q42">
        <f t="shared" si="9"/>
        <v>104</v>
      </c>
      <c r="R42">
        <v>1.8</v>
      </c>
      <c r="T42">
        <f t="shared" si="11"/>
        <v>104</v>
      </c>
      <c r="U42">
        <f t="shared" si="22"/>
        <v>2.2920000000000007</v>
      </c>
      <c r="W42">
        <f t="shared" si="13"/>
        <v>104</v>
      </c>
      <c r="X42">
        <f t="shared" si="23"/>
        <v>2.8920000000000008</v>
      </c>
      <c r="Z42">
        <f t="shared" si="15"/>
        <v>104</v>
      </c>
      <c r="AA42">
        <f t="shared" si="24"/>
        <v>3.3679999999999999</v>
      </c>
    </row>
    <row r="43" spans="2:29">
      <c r="B43">
        <f t="shared" si="0"/>
        <v>105</v>
      </c>
      <c r="C43">
        <f t="shared" si="17"/>
        <v>2.9700000000000011</v>
      </c>
      <c r="E43">
        <f t="shared" si="2"/>
        <v>105</v>
      </c>
      <c r="F43">
        <f t="shared" si="18"/>
        <v>2.6900000000000013</v>
      </c>
      <c r="H43">
        <f t="shared" si="4"/>
        <v>105</v>
      </c>
      <c r="I43">
        <f t="shared" si="19"/>
        <v>2.3359999999999994</v>
      </c>
      <c r="K43">
        <f t="shared" si="6"/>
        <v>105</v>
      </c>
      <c r="L43">
        <f t="shared" si="20"/>
        <v>2.4900000000000011</v>
      </c>
      <c r="N43">
        <f t="shared" si="7"/>
        <v>105</v>
      </c>
      <c r="O43">
        <f t="shared" si="21"/>
        <v>2.68</v>
      </c>
      <c r="Q43">
        <f t="shared" si="9"/>
        <v>105</v>
      </c>
      <c r="R43">
        <v>1.8</v>
      </c>
      <c r="T43">
        <f t="shared" si="11"/>
        <v>105</v>
      </c>
      <c r="U43">
        <f t="shared" si="22"/>
        <v>2.2900000000000009</v>
      </c>
      <c r="W43">
        <f t="shared" si="13"/>
        <v>105</v>
      </c>
      <c r="X43">
        <f t="shared" si="23"/>
        <v>2.890000000000001</v>
      </c>
      <c r="Z43">
        <f t="shared" si="15"/>
        <v>105</v>
      </c>
      <c r="AA43">
        <f t="shared" si="24"/>
        <v>3.36</v>
      </c>
    </row>
    <row r="44" spans="2:29">
      <c r="B44">
        <f t="shared" si="0"/>
        <v>106</v>
      </c>
      <c r="C44">
        <f t="shared" si="17"/>
        <v>2.9640000000000013</v>
      </c>
      <c r="E44">
        <f t="shared" si="2"/>
        <v>106</v>
      </c>
      <c r="F44">
        <f t="shared" si="18"/>
        <v>2.6880000000000015</v>
      </c>
      <c r="H44">
        <f t="shared" si="4"/>
        <v>106</v>
      </c>
      <c r="I44">
        <f t="shared" si="19"/>
        <v>2.3331999999999993</v>
      </c>
      <c r="K44">
        <f t="shared" si="6"/>
        <v>106</v>
      </c>
      <c r="L44">
        <f t="shared" si="20"/>
        <v>2.4880000000000013</v>
      </c>
      <c r="N44">
        <f t="shared" si="7"/>
        <v>106</v>
      </c>
      <c r="O44">
        <f t="shared" si="21"/>
        <v>2.6760000000000002</v>
      </c>
      <c r="Q44">
        <f t="shared" si="9"/>
        <v>106</v>
      </c>
      <c r="R44">
        <v>1.8</v>
      </c>
      <c r="T44">
        <f t="shared" si="11"/>
        <v>106</v>
      </c>
      <c r="U44">
        <f t="shared" si="22"/>
        <v>2.2880000000000011</v>
      </c>
      <c r="W44">
        <f t="shared" si="13"/>
        <v>106</v>
      </c>
      <c r="X44">
        <f t="shared" si="23"/>
        <v>2.8880000000000012</v>
      </c>
      <c r="Z44">
        <f t="shared" si="15"/>
        <v>106</v>
      </c>
      <c r="AA44">
        <f t="shared" si="24"/>
        <v>3.3519999999999999</v>
      </c>
    </row>
    <row r="45" spans="2:29">
      <c r="B45">
        <f t="shared" si="0"/>
        <v>107</v>
      </c>
      <c r="C45">
        <f t="shared" si="17"/>
        <v>2.9580000000000015</v>
      </c>
      <c r="E45">
        <f t="shared" si="2"/>
        <v>107</v>
      </c>
      <c r="F45">
        <f t="shared" si="18"/>
        <v>2.6860000000000017</v>
      </c>
      <c r="H45">
        <f t="shared" si="4"/>
        <v>107</v>
      </c>
      <c r="I45">
        <f t="shared" si="19"/>
        <v>2.3303999999999991</v>
      </c>
      <c r="K45">
        <f t="shared" si="6"/>
        <v>107</v>
      </c>
      <c r="L45">
        <f t="shared" si="20"/>
        <v>2.4860000000000015</v>
      </c>
      <c r="N45">
        <f t="shared" si="7"/>
        <v>107</v>
      </c>
      <c r="O45">
        <f t="shared" si="21"/>
        <v>2.6720000000000002</v>
      </c>
      <c r="Q45">
        <f t="shared" si="9"/>
        <v>107</v>
      </c>
      <c r="R45">
        <v>1.8</v>
      </c>
      <c r="T45">
        <f t="shared" si="11"/>
        <v>107</v>
      </c>
      <c r="U45">
        <f t="shared" si="22"/>
        <v>2.2860000000000014</v>
      </c>
      <c r="W45">
        <f t="shared" si="13"/>
        <v>107</v>
      </c>
      <c r="X45">
        <f t="shared" si="23"/>
        <v>2.8860000000000015</v>
      </c>
      <c r="Z45">
        <f t="shared" si="15"/>
        <v>107</v>
      </c>
      <c r="AA45">
        <f t="shared" si="24"/>
        <v>3.3439999999999999</v>
      </c>
    </row>
    <row r="46" spans="2:29">
      <c r="B46">
        <f t="shared" si="0"/>
        <v>108</v>
      </c>
      <c r="C46">
        <f t="shared" si="17"/>
        <v>2.9520000000000017</v>
      </c>
      <c r="E46">
        <f t="shared" si="2"/>
        <v>108</v>
      </c>
      <c r="F46">
        <f t="shared" si="18"/>
        <v>2.6840000000000019</v>
      </c>
      <c r="H46">
        <f t="shared" si="4"/>
        <v>108</v>
      </c>
      <c r="I46">
        <f t="shared" si="19"/>
        <v>2.327599999999999</v>
      </c>
      <c r="K46">
        <f t="shared" si="6"/>
        <v>108</v>
      </c>
      <c r="L46">
        <f t="shared" si="20"/>
        <v>2.4840000000000018</v>
      </c>
      <c r="N46">
        <f t="shared" si="7"/>
        <v>108</v>
      </c>
      <c r="O46">
        <f t="shared" si="21"/>
        <v>2.6680000000000001</v>
      </c>
      <c r="Q46">
        <f t="shared" si="9"/>
        <v>108</v>
      </c>
      <c r="R46">
        <v>1.8</v>
      </c>
      <c r="T46">
        <f t="shared" si="11"/>
        <v>108</v>
      </c>
      <c r="U46">
        <f t="shared" si="22"/>
        <v>2.2840000000000016</v>
      </c>
      <c r="W46">
        <f t="shared" si="13"/>
        <v>108</v>
      </c>
      <c r="X46">
        <f t="shared" si="23"/>
        <v>2.8840000000000017</v>
      </c>
      <c r="Z46">
        <f t="shared" si="15"/>
        <v>108</v>
      </c>
      <c r="AA46">
        <f t="shared" si="24"/>
        <v>3.3359999999999999</v>
      </c>
    </row>
    <row r="47" spans="2:29">
      <c r="B47">
        <f t="shared" si="0"/>
        <v>109</v>
      </c>
      <c r="C47">
        <f t="shared" si="17"/>
        <v>2.946000000000002</v>
      </c>
      <c r="E47">
        <f t="shared" si="2"/>
        <v>109</v>
      </c>
      <c r="F47">
        <f t="shared" si="18"/>
        <v>2.6820000000000022</v>
      </c>
      <c r="H47">
        <f t="shared" si="4"/>
        <v>109</v>
      </c>
      <c r="I47">
        <f t="shared" si="19"/>
        <v>2.3247999999999989</v>
      </c>
      <c r="K47">
        <f t="shared" si="6"/>
        <v>109</v>
      </c>
      <c r="L47">
        <f t="shared" si="20"/>
        <v>2.482000000000002</v>
      </c>
      <c r="N47">
        <f t="shared" si="7"/>
        <v>109</v>
      </c>
      <c r="O47">
        <f t="shared" si="21"/>
        <v>2.6640000000000001</v>
      </c>
      <c r="Q47">
        <f t="shared" si="9"/>
        <v>109</v>
      </c>
      <c r="R47">
        <v>1.8</v>
      </c>
      <c r="T47">
        <f t="shared" si="11"/>
        <v>109</v>
      </c>
      <c r="U47">
        <f t="shared" si="22"/>
        <v>2.2820000000000018</v>
      </c>
      <c r="W47">
        <f t="shared" si="13"/>
        <v>109</v>
      </c>
      <c r="X47">
        <f t="shared" si="23"/>
        <v>2.8820000000000019</v>
      </c>
      <c r="Z47">
        <f t="shared" si="15"/>
        <v>109</v>
      </c>
      <c r="AA47">
        <f t="shared" si="24"/>
        <v>3.3279999999999998</v>
      </c>
    </row>
    <row r="48" spans="2:29">
      <c r="B48">
        <f t="shared" si="0"/>
        <v>110</v>
      </c>
      <c r="C48">
        <f t="shared" si="17"/>
        <v>2.9400000000000022</v>
      </c>
      <c r="E48">
        <f t="shared" si="2"/>
        <v>110</v>
      </c>
      <c r="F48">
        <f t="shared" si="18"/>
        <v>2.6800000000000024</v>
      </c>
      <c r="H48">
        <f t="shared" si="4"/>
        <v>110</v>
      </c>
      <c r="I48">
        <f t="shared" si="19"/>
        <v>2.3219999999999987</v>
      </c>
      <c r="K48">
        <f t="shared" si="6"/>
        <v>110</v>
      </c>
      <c r="L48">
        <f t="shared" si="20"/>
        <v>2.4800000000000022</v>
      </c>
      <c r="N48">
        <f t="shared" si="7"/>
        <v>110</v>
      </c>
      <c r="O48">
        <f t="shared" si="21"/>
        <v>2.66</v>
      </c>
      <c r="Q48">
        <f t="shared" si="9"/>
        <v>110</v>
      </c>
      <c r="R48">
        <v>1.8</v>
      </c>
      <c r="T48">
        <f t="shared" si="11"/>
        <v>110</v>
      </c>
      <c r="U48">
        <f t="shared" si="22"/>
        <v>2.280000000000002</v>
      </c>
      <c r="W48">
        <f t="shared" si="13"/>
        <v>110</v>
      </c>
      <c r="X48">
        <f t="shared" si="23"/>
        <v>2.8800000000000021</v>
      </c>
      <c r="Z48">
        <f t="shared" si="15"/>
        <v>110</v>
      </c>
      <c r="AA48">
        <f t="shared" si="24"/>
        <v>3.32</v>
      </c>
    </row>
    <row r="49" spans="2:27">
      <c r="B49">
        <f t="shared" si="0"/>
        <v>111</v>
      </c>
      <c r="C49">
        <f t="shared" si="17"/>
        <v>2.9340000000000024</v>
      </c>
      <c r="E49">
        <f t="shared" si="2"/>
        <v>111</v>
      </c>
      <c r="F49">
        <f t="shared" si="18"/>
        <v>2.6780000000000026</v>
      </c>
      <c r="H49">
        <f t="shared" si="4"/>
        <v>111</v>
      </c>
      <c r="I49">
        <f t="shared" si="19"/>
        <v>2.3191999999999986</v>
      </c>
      <c r="K49">
        <f t="shared" si="6"/>
        <v>111</v>
      </c>
      <c r="L49">
        <f t="shared" si="20"/>
        <v>2.4780000000000024</v>
      </c>
      <c r="N49">
        <f t="shared" si="7"/>
        <v>111</v>
      </c>
      <c r="O49">
        <f t="shared" si="21"/>
        <v>2.6560000000000001</v>
      </c>
      <c r="Q49">
        <f t="shared" si="9"/>
        <v>111</v>
      </c>
      <c r="R49">
        <v>1.8</v>
      </c>
      <c r="T49">
        <f t="shared" si="11"/>
        <v>111</v>
      </c>
      <c r="U49">
        <f t="shared" si="22"/>
        <v>2.2780000000000022</v>
      </c>
      <c r="W49">
        <f t="shared" si="13"/>
        <v>111</v>
      </c>
      <c r="X49">
        <f t="shared" si="23"/>
        <v>2.8780000000000023</v>
      </c>
      <c r="Z49">
        <f t="shared" si="15"/>
        <v>111</v>
      </c>
      <c r="AA49">
        <f t="shared" si="24"/>
        <v>3.3119999999999998</v>
      </c>
    </row>
    <row r="50" spans="2:27">
      <c r="B50">
        <f t="shared" si="0"/>
        <v>112</v>
      </c>
      <c r="C50">
        <f t="shared" si="17"/>
        <v>2.9280000000000026</v>
      </c>
      <c r="E50">
        <f t="shared" si="2"/>
        <v>112</v>
      </c>
      <c r="F50">
        <f t="shared" si="18"/>
        <v>2.6760000000000028</v>
      </c>
      <c r="H50">
        <f t="shared" si="4"/>
        <v>112</v>
      </c>
      <c r="I50">
        <f t="shared" si="19"/>
        <v>2.3163999999999985</v>
      </c>
      <c r="K50">
        <f t="shared" si="6"/>
        <v>112</v>
      </c>
      <c r="L50">
        <f t="shared" si="20"/>
        <v>2.4760000000000026</v>
      </c>
      <c r="N50">
        <f t="shared" si="7"/>
        <v>112</v>
      </c>
      <c r="O50">
        <f t="shared" si="21"/>
        <v>2.6520000000000001</v>
      </c>
      <c r="Q50">
        <f t="shared" si="9"/>
        <v>112</v>
      </c>
      <c r="R50">
        <v>1.8</v>
      </c>
      <c r="T50">
        <f t="shared" si="11"/>
        <v>112</v>
      </c>
      <c r="U50">
        <f t="shared" si="22"/>
        <v>2.2760000000000025</v>
      </c>
      <c r="W50">
        <f t="shared" si="13"/>
        <v>112</v>
      </c>
      <c r="X50">
        <f t="shared" si="23"/>
        <v>2.8760000000000026</v>
      </c>
      <c r="Z50">
        <f t="shared" si="15"/>
        <v>112</v>
      </c>
      <c r="AA50">
        <f t="shared" si="24"/>
        <v>3.3039999999999998</v>
      </c>
    </row>
    <row r="51" spans="2:27">
      <c r="B51">
        <f t="shared" si="0"/>
        <v>113</v>
      </c>
      <c r="C51">
        <f t="shared" si="17"/>
        <v>2.9220000000000028</v>
      </c>
      <c r="E51">
        <f t="shared" si="2"/>
        <v>113</v>
      </c>
      <c r="F51">
        <f t="shared" si="18"/>
        <v>2.674000000000003</v>
      </c>
      <c r="H51">
        <f t="shared" si="4"/>
        <v>113</v>
      </c>
      <c r="I51">
        <f t="shared" si="19"/>
        <v>2.3135999999999983</v>
      </c>
      <c r="K51">
        <f t="shared" si="6"/>
        <v>113</v>
      </c>
      <c r="L51">
        <f t="shared" si="20"/>
        <v>2.4740000000000029</v>
      </c>
      <c r="N51">
        <f t="shared" si="7"/>
        <v>113</v>
      </c>
      <c r="O51">
        <f t="shared" si="21"/>
        <v>2.6480000000000001</v>
      </c>
      <c r="Q51">
        <f t="shared" si="9"/>
        <v>113</v>
      </c>
      <c r="R51">
        <v>1.8</v>
      </c>
      <c r="T51">
        <f t="shared" si="11"/>
        <v>113</v>
      </c>
      <c r="U51">
        <f t="shared" si="22"/>
        <v>2.2740000000000027</v>
      </c>
      <c r="W51">
        <f t="shared" si="13"/>
        <v>113</v>
      </c>
      <c r="X51">
        <f t="shared" si="23"/>
        <v>2.8740000000000028</v>
      </c>
      <c r="Z51">
        <f t="shared" si="15"/>
        <v>113</v>
      </c>
      <c r="AA51">
        <f t="shared" si="24"/>
        <v>3.2959999999999998</v>
      </c>
    </row>
    <row r="52" spans="2:27">
      <c r="B52">
        <f t="shared" si="0"/>
        <v>114</v>
      </c>
      <c r="C52">
        <f t="shared" si="17"/>
        <v>2.916000000000003</v>
      </c>
      <c r="E52">
        <f t="shared" si="2"/>
        <v>114</v>
      </c>
      <c r="F52">
        <f t="shared" si="18"/>
        <v>2.6720000000000033</v>
      </c>
      <c r="H52">
        <f t="shared" si="4"/>
        <v>114</v>
      </c>
      <c r="I52">
        <f t="shared" si="19"/>
        <v>2.3107999999999982</v>
      </c>
      <c r="K52">
        <f t="shared" si="6"/>
        <v>114</v>
      </c>
      <c r="L52">
        <f t="shared" si="20"/>
        <v>2.4720000000000031</v>
      </c>
      <c r="N52">
        <f t="shared" si="7"/>
        <v>114</v>
      </c>
      <c r="O52">
        <f t="shared" si="21"/>
        <v>2.6440000000000001</v>
      </c>
      <c r="Q52">
        <f t="shared" si="9"/>
        <v>114</v>
      </c>
      <c r="R52">
        <v>1.8</v>
      </c>
      <c r="T52">
        <f t="shared" si="11"/>
        <v>114</v>
      </c>
      <c r="U52">
        <f t="shared" si="22"/>
        <v>2.2720000000000029</v>
      </c>
      <c r="W52">
        <f t="shared" si="13"/>
        <v>114</v>
      </c>
      <c r="X52">
        <f t="shared" si="23"/>
        <v>2.872000000000003</v>
      </c>
      <c r="Z52">
        <f t="shared" si="15"/>
        <v>114</v>
      </c>
      <c r="AA52">
        <f t="shared" si="24"/>
        <v>3.2879999999999998</v>
      </c>
    </row>
    <row r="53" spans="2:27">
      <c r="B53">
        <f t="shared" si="0"/>
        <v>115</v>
      </c>
      <c r="C53">
        <f t="shared" si="17"/>
        <v>2.9100000000000033</v>
      </c>
      <c r="E53">
        <f t="shared" si="2"/>
        <v>115</v>
      </c>
      <c r="F53">
        <f t="shared" si="18"/>
        <v>2.6700000000000035</v>
      </c>
      <c r="H53">
        <f t="shared" si="4"/>
        <v>115</v>
      </c>
      <c r="I53">
        <f t="shared" si="19"/>
        <v>2.3079999999999981</v>
      </c>
      <c r="K53">
        <f t="shared" si="6"/>
        <v>115</v>
      </c>
      <c r="L53">
        <f t="shared" si="20"/>
        <v>2.4700000000000033</v>
      </c>
      <c r="N53">
        <f t="shared" si="7"/>
        <v>115</v>
      </c>
      <c r="O53">
        <f t="shared" si="21"/>
        <v>2.64</v>
      </c>
      <c r="Q53">
        <f t="shared" si="9"/>
        <v>115</v>
      </c>
      <c r="R53">
        <v>1.8</v>
      </c>
      <c r="T53">
        <f t="shared" si="11"/>
        <v>115</v>
      </c>
      <c r="U53">
        <f t="shared" si="22"/>
        <v>2.2700000000000031</v>
      </c>
      <c r="W53">
        <f t="shared" si="13"/>
        <v>115</v>
      </c>
      <c r="X53">
        <f t="shared" si="23"/>
        <v>2.8700000000000032</v>
      </c>
      <c r="Z53">
        <f t="shared" si="15"/>
        <v>115</v>
      </c>
      <c r="AA53">
        <f t="shared" si="24"/>
        <v>3.28</v>
      </c>
    </row>
    <row r="54" spans="2:27">
      <c r="B54">
        <f t="shared" si="0"/>
        <v>116</v>
      </c>
      <c r="C54">
        <f t="shared" si="17"/>
        <v>2.9040000000000035</v>
      </c>
      <c r="E54">
        <f t="shared" si="2"/>
        <v>116</v>
      </c>
      <c r="F54">
        <f t="shared" si="18"/>
        <v>2.6680000000000037</v>
      </c>
      <c r="H54">
        <f t="shared" si="4"/>
        <v>116</v>
      </c>
      <c r="I54">
        <f t="shared" si="19"/>
        <v>2.3051999999999979</v>
      </c>
      <c r="K54">
        <f t="shared" si="6"/>
        <v>116</v>
      </c>
      <c r="L54">
        <f t="shared" si="20"/>
        <v>2.4680000000000035</v>
      </c>
      <c r="N54">
        <f t="shared" si="7"/>
        <v>116</v>
      </c>
      <c r="O54">
        <f t="shared" si="21"/>
        <v>2.6360000000000001</v>
      </c>
      <c r="Q54">
        <f t="shared" si="9"/>
        <v>116</v>
      </c>
      <c r="R54">
        <v>1.8</v>
      </c>
      <c r="T54">
        <f t="shared" si="11"/>
        <v>116</v>
      </c>
      <c r="U54">
        <f t="shared" si="22"/>
        <v>2.2680000000000033</v>
      </c>
      <c r="W54">
        <f t="shared" si="13"/>
        <v>116</v>
      </c>
      <c r="X54">
        <f t="shared" si="23"/>
        <v>2.8680000000000034</v>
      </c>
      <c r="Z54">
        <f t="shared" si="15"/>
        <v>116</v>
      </c>
      <c r="AA54">
        <f t="shared" si="24"/>
        <v>3.2719999999999998</v>
      </c>
    </row>
    <row r="55" spans="2:27">
      <c r="B55">
        <f t="shared" si="0"/>
        <v>117</v>
      </c>
      <c r="C55">
        <f t="shared" si="17"/>
        <v>2.8980000000000037</v>
      </c>
      <c r="E55">
        <f t="shared" si="2"/>
        <v>117</v>
      </c>
      <c r="F55">
        <f t="shared" si="18"/>
        <v>2.6660000000000039</v>
      </c>
      <c r="H55">
        <f t="shared" si="4"/>
        <v>117</v>
      </c>
      <c r="I55">
        <f t="shared" si="19"/>
        <v>2.3023999999999978</v>
      </c>
      <c r="K55">
        <f t="shared" si="6"/>
        <v>117</v>
      </c>
      <c r="L55">
        <f t="shared" si="20"/>
        <v>2.4660000000000037</v>
      </c>
      <c r="N55">
        <f t="shared" si="7"/>
        <v>117</v>
      </c>
      <c r="O55">
        <f t="shared" si="21"/>
        <v>2.6320000000000001</v>
      </c>
      <c r="Q55">
        <f t="shared" si="9"/>
        <v>117</v>
      </c>
      <c r="R55">
        <v>1.8</v>
      </c>
      <c r="T55">
        <f t="shared" si="11"/>
        <v>117</v>
      </c>
      <c r="U55">
        <f t="shared" si="22"/>
        <v>2.2660000000000036</v>
      </c>
      <c r="W55">
        <f t="shared" si="13"/>
        <v>117</v>
      </c>
      <c r="X55">
        <f t="shared" si="23"/>
        <v>2.8660000000000037</v>
      </c>
      <c r="Z55">
        <f t="shared" si="15"/>
        <v>117</v>
      </c>
      <c r="AA55">
        <f t="shared" si="24"/>
        <v>3.2639999999999998</v>
      </c>
    </row>
    <row r="56" spans="2:27">
      <c r="B56">
        <f t="shared" si="0"/>
        <v>118</v>
      </c>
      <c r="C56">
        <f t="shared" si="17"/>
        <v>2.8920000000000039</v>
      </c>
      <c r="E56">
        <f t="shared" si="2"/>
        <v>118</v>
      </c>
      <c r="F56">
        <f t="shared" si="18"/>
        <v>2.6640000000000041</v>
      </c>
      <c r="H56">
        <f t="shared" si="4"/>
        <v>118</v>
      </c>
      <c r="I56">
        <f t="shared" si="19"/>
        <v>2.2995999999999976</v>
      </c>
      <c r="K56">
        <f t="shared" si="6"/>
        <v>118</v>
      </c>
      <c r="L56">
        <f t="shared" si="20"/>
        <v>2.464000000000004</v>
      </c>
      <c r="N56">
        <f t="shared" si="7"/>
        <v>118</v>
      </c>
      <c r="O56">
        <f t="shared" si="21"/>
        <v>2.6280000000000001</v>
      </c>
      <c r="Q56">
        <f t="shared" si="9"/>
        <v>118</v>
      </c>
      <c r="R56">
        <v>1.8</v>
      </c>
      <c r="T56">
        <f t="shared" si="11"/>
        <v>118</v>
      </c>
      <c r="U56">
        <f t="shared" si="22"/>
        <v>2.2640000000000038</v>
      </c>
      <c r="W56">
        <f t="shared" si="13"/>
        <v>118</v>
      </c>
      <c r="X56">
        <f t="shared" si="23"/>
        <v>2.8640000000000039</v>
      </c>
      <c r="Z56">
        <f t="shared" si="15"/>
        <v>118</v>
      </c>
      <c r="AA56">
        <f t="shared" si="24"/>
        <v>3.2559999999999998</v>
      </c>
    </row>
    <row r="57" spans="2:27">
      <c r="B57">
        <f t="shared" si="0"/>
        <v>119</v>
      </c>
      <c r="C57">
        <f t="shared" si="17"/>
        <v>2.8860000000000041</v>
      </c>
      <c r="E57">
        <f t="shared" si="2"/>
        <v>119</v>
      </c>
      <c r="F57">
        <f t="shared" si="18"/>
        <v>2.6620000000000044</v>
      </c>
      <c r="H57">
        <f t="shared" si="4"/>
        <v>119</v>
      </c>
      <c r="I57">
        <f t="shared" si="19"/>
        <v>2.2967999999999975</v>
      </c>
      <c r="K57">
        <f t="shared" si="6"/>
        <v>119</v>
      </c>
      <c r="L57">
        <f t="shared" si="20"/>
        <v>2.4620000000000042</v>
      </c>
      <c r="N57">
        <f t="shared" si="7"/>
        <v>119</v>
      </c>
      <c r="O57">
        <f t="shared" si="21"/>
        <v>2.6240000000000001</v>
      </c>
      <c r="Q57">
        <f t="shared" si="9"/>
        <v>119</v>
      </c>
      <c r="R57">
        <v>1.8</v>
      </c>
      <c r="T57">
        <f t="shared" si="11"/>
        <v>119</v>
      </c>
      <c r="U57">
        <f t="shared" si="22"/>
        <v>2.262000000000004</v>
      </c>
      <c r="W57">
        <f t="shared" si="13"/>
        <v>119</v>
      </c>
      <c r="X57">
        <f t="shared" si="23"/>
        <v>2.8620000000000041</v>
      </c>
      <c r="Z57">
        <f t="shared" si="15"/>
        <v>119</v>
      </c>
      <c r="AA57">
        <f t="shared" si="24"/>
        <v>3.2479999999999998</v>
      </c>
    </row>
    <row r="58" spans="2:27">
      <c r="B58">
        <f t="shared" si="0"/>
        <v>120</v>
      </c>
      <c r="C58">
        <f t="shared" si="17"/>
        <v>2.8800000000000043</v>
      </c>
      <c r="E58">
        <f t="shared" si="2"/>
        <v>120</v>
      </c>
      <c r="F58">
        <f t="shared" si="18"/>
        <v>2.6600000000000046</v>
      </c>
      <c r="H58">
        <f t="shared" si="4"/>
        <v>120</v>
      </c>
      <c r="I58">
        <f t="shared" si="19"/>
        <v>2.2939999999999974</v>
      </c>
      <c r="K58">
        <f t="shared" si="6"/>
        <v>120</v>
      </c>
      <c r="L58">
        <f t="shared" si="20"/>
        <v>2.4600000000000044</v>
      </c>
      <c r="N58">
        <f t="shared" si="7"/>
        <v>120</v>
      </c>
      <c r="O58">
        <f t="shared" si="21"/>
        <v>2.62</v>
      </c>
      <c r="Q58">
        <f t="shared" si="9"/>
        <v>120</v>
      </c>
      <c r="R58">
        <v>1.8</v>
      </c>
      <c r="T58">
        <f t="shared" si="11"/>
        <v>120</v>
      </c>
      <c r="U58">
        <f t="shared" si="22"/>
        <v>2.2600000000000042</v>
      </c>
      <c r="W58">
        <f t="shared" si="13"/>
        <v>120</v>
      </c>
      <c r="X58">
        <f t="shared" si="23"/>
        <v>2.8600000000000043</v>
      </c>
      <c r="Z58">
        <f t="shared" si="15"/>
        <v>120</v>
      </c>
      <c r="AA58">
        <f t="shared" si="24"/>
        <v>3.2399999999999998</v>
      </c>
    </row>
    <row r="59" spans="2:27">
      <c r="B59">
        <f t="shared" si="0"/>
        <v>121</v>
      </c>
      <c r="C59">
        <f t="shared" si="17"/>
        <v>2.8740000000000046</v>
      </c>
      <c r="E59">
        <f t="shared" si="2"/>
        <v>121</v>
      </c>
      <c r="F59">
        <f t="shared" si="18"/>
        <v>2.6580000000000048</v>
      </c>
      <c r="H59">
        <f t="shared" si="4"/>
        <v>121</v>
      </c>
      <c r="I59">
        <f t="shared" si="19"/>
        <v>2.2911999999999972</v>
      </c>
      <c r="K59">
        <f t="shared" si="6"/>
        <v>121</v>
      </c>
      <c r="L59">
        <f t="shared" si="20"/>
        <v>2.4580000000000046</v>
      </c>
      <c r="N59">
        <f t="shared" si="7"/>
        <v>121</v>
      </c>
      <c r="O59">
        <f t="shared" si="21"/>
        <v>2.6160000000000001</v>
      </c>
      <c r="Q59">
        <f t="shared" si="9"/>
        <v>121</v>
      </c>
      <c r="R59">
        <v>1.8</v>
      </c>
      <c r="T59">
        <f t="shared" si="11"/>
        <v>121</v>
      </c>
      <c r="U59">
        <f t="shared" si="22"/>
        <v>2.2580000000000044</v>
      </c>
      <c r="W59">
        <f t="shared" si="13"/>
        <v>121</v>
      </c>
      <c r="X59">
        <f t="shared" si="23"/>
        <v>2.8580000000000045</v>
      </c>
      <c r="Z59">
        <f t="shared" si="15"/>
        <v>121</v>
      </c>
      <c r="AA59">
        <f t="shared" si="24"/>
        <v>3.2319999999999998</v>
      </c>
    </row>
    <row r="60" spans="2:27">
      <c r="B60">
        <f t="shared" si="0"/>
        <v>122</v>
      </c>
      <c r="C60">
        <f t="shared" si="17"/>
        <v>2.8680000000000048</v>
      </c>
      <c r="E60">
        <f t="shared" si="2"/>
        <v>122</v>
      </c>
      <c r="F60">
        <f t="shared" si="18"/>
        <v>2.656000000000005</v>
      </c>
      <c r="H60">
        <f t="shared" si="4"/>
        <v>122</v>
      </c>
      <c r="I60">
        <f t="shared" si="19"/>
        <v>2.2883999999999971</v>
      </c>
      <c r="K60">
        <f t="shared" si="6"/>
        <v>122</v>
      </c>
      <c r="L60">
        <f t="shared" si="20"/>
        <v>2.4560000000000048</v>
      </c>
      <c r="N60">
        <f t="shared" si="7"/>
        <v>122</v>
      </c>
      <c r="O60">
        <f t="shared" si="21"/>
        <v>2.6120000000000001</v>
      </c>
      <c r="Q60">
        <f t="shared" si="9"/>
        <v>122</v>
      </c>
      <c r="R60">
        <v>1.8</v>
      </c>
      <c r="T60">
        <f t="shared" si="11"/>
        <v>122</v>
      </c>
      <c r="U60">
        <f t="shared" si="22"/>
        <v>2.2560000000000047</v>
      </c>
      <c r="W60">
        <f t="shared" si="13"/>
        <v>122</v>
      </c>
      <c r="X60">
        <f t="shared" si="23"/>
        <v>2.8560000000000048</v>
      </c>
      <c r="Z60">
        <f t="shared" si="15"/>
        <v>122</v>
      </c>
      <c r="AA60">
        <f t="shared" si="24"/>
        <v>3.2239999999999998</v>
      </c>
    </row>
    <row r="61" spans="2:27">
      <c r="B61">
        <f t="shared" si="0"/>
        <v>123</v>
      </c>
      <c r="C61">
        <f t="shared" si="17"/>
        <v>2.862000000000005</v>
      </c>
      <c r="E61">
        <f t="shared" si="2"/>
        <v>123</v>
      </c>
      <c r="F61">
        <f t="shared" si="18"/>
        <v>2.6540000000000052</v>
      </c>
      <c r="H61">
        <f t="shared" si="4"/>
        <v>123</v>
      </c>
      <c r="I61">
        <f t="shared" si="19"/>
        <v>2.285599999999997</v>
      </c>
      <c r="K61">
        <f t="shared" si="6"/>
        <v>123</v>
      </c>
      <c r="L61">
        <f t="shared" si="20"/>
        <v>2.4540000000000051</v>
      </c>
      <c r="N61">
        <f t="shared" si="7"/>
        <v>123</v>
      </c>
      <c r="O61">
        <f t="shared" si="21"/>
        <v>2.6080000000000001</v>
      </c>
      <c r="Q61">
        <f t="shared" si="9"/>
        <v>123</v>
      </c>
      <c r="R61">
        <v>1.8</v>
      </c>
      <c r="T61">
        <f t="shared" si="11"/>
        <v>123</v>
      </c>
      <c r="U61">
        <f t="shared" si="22"/>
        <v>2.2540000000000049</v>
      </c>
      <c r="W61">
        <f t="shared" si="13"/>
        <v>123</v>
      </c>
      <c r="X61">
        <f t="shared" si="23"/>
        <v>2.854000000000005</v>
      </c>
      <c r="Z61">
        <f t="shared" si="15"/>
        <v>123</v>
      </c>
      <c r="AA61">
        <f t="shared" si="24"/>
        <v>3.2159999999999997</v>
      </c>
    </row>
    <row r="62" spans="2:27">
      <c r="B62">
        <f t="shared" si="0"/>
        <v>124</v>
      </c>
      <c r="C62">
        <f t="shared" si="17"/>
        <v>2.8560000000000052</v>
      </c>
      <c r="E62">
        <f t="shared" si="2"/>
        <v>124</v>
      </c>
      <c r="F62">
        <f t="shared" si="18"/>
        <v>2.6520000000000055</v>
      </c>
      <c r="H62">
        <f t="shared" si="4"/>
        <v>124</v>
      </c>
      <c r="I62">
        <f t="shared" si="19"/>
        <v>2.2827999999999968</v>
      </c>
      <c r="K62">
        <f t="shared" si="6"/>
        <v>124</v>
      </c>
      <c r="L62">
        <f t="shared" si="20"/>
        <v>2.4520000000000053</v>
      </c>
      <c r="N62">
        <f t="shared" si="7"/>
        <v>124</v>
      </c>
      <c r="O62">
        <f t="shared" si="21"/>
        <v>2.6040000000000001</v>
      </c>
      <c r="Q62">
        <f t="shared" si="9"/>
        <v>124</v>
      </c>
      <c r="R62">
        <v>1.8</v>
      </c>
      <c r="T62">
        <f t="shared" si="11"/>
        <v>124</v>
      </c>
      <c r="U62">
        <f t="shared" si="22"/>
        <v>2.2520000000000051</v>
      </c>
      <c r="W62">
        <f t="shared" si="13"/>
        <v>124</v>
      </c>
      <c r="X62">
        <f t="shared" si="23"/>
        <v>2.8520000000000052</v>
      </c>
      <c r="Z62">
        <f t="shared" si="15"/>
        <v>124</v>
      </c>
      <c r="AA62">
        <f t="shared" si="24"/>
        <v>3.2079999999999997</v>
      </c>
    </row>
    <row r="63" spans="2:27">
      <c r="B63">
        <f t="shared" si="0"/>
        <v>125</v>
      </c>
      <c r="C63">
        <f t="shared" si="17"/>
        <v>2.8500000000000054</v>
      </c>
      <c r="E63">
        <f t="shared" si="2"/>
        <v>125</v>
      </c>
      <c r="F63">
        <f t="shared" si="18"/>
        <v>2.6500000000000057</v>
      </c>
      <c r="H63">
        <f t="shared" si="4"/>
        <v>125</v>
      </c>
      <c r="I63">
        <f t="shared" si="19"/>
        <v>2.2799999999999967</v>
      </c>
      <c r="K63">
        <f t="shared" si="6"/>
        <v>125</v>
      </c>
      <c r="L63">
        <f t="shared" si="20"/>
        <v>2.4500000000000055</v>
      </c>
      <c r="N63">
        <f t="shared" si="7"/>
        <v>125</v>
      </c>
      <c r="O63">
        <f t="shared" si="21"/>
        <v>2.6</v>
      </c>
      <c r="Q63">
        <f t="shared" si="9"/>
        <v>125</v>
      </c>
      <c r="R63">
        <v>1.8</v>
      </c>
      <c r="T63">
        <f t="shared" si="11"/>
        <v>125</v>
      </c>
      <c r="U63">
        <f t="shared" si="22"/>
        <v>2.2500000000000053</v>
      </c>
      <c r="W63">
        <f t="shared" si="13"/>
        <v>125</v>
      </c>
      <c r="X63">
        <f t="shared" si="23"/>
        <v>2.8500000000000054</v>
      </c>
      <c r="Z63">
        <f t="shared" si="15"/>
        <v>125</v>
      </c>
      <c r="AA63">
        <f t="shared" si="24"/>
        <v>3.1999999999999997</v>
      </c>
    </row>
    <row r="64" spans="2:27">
      <c r="B64">
        <f t="shared" si="0"/>
        <v>126</v>
      </c>
      <c r="C64">
        <f t="shared" si="17"/>
        <v>2.8440000000000056</v>
      </c>
      <c r="E64">
        <f t="shared" si="2"/>
        <v>126</v>
      </c>
      <c r="F64">
        <f t="shared" si="18"/>
        <v>2.6480000000000059</v>
      </c>
      <c r="H64">
        <f t="shared" si="4"/>
        <v>126</v>
      </c>
      <c r="I64">
        <f t="shared" si="19"/>
        <v>2.2771999999999966</v>
      </c>
      <c r="K64">
        <f t="shared" si="6"/>
        <v>126</v>
      </c>
      <c r="L64">
        <f t="shared" si="20"/>
        <v>2.4480000000000057</v>
      </c>
      <c r="N64">
        <f t="shared" si="7"/>
        <v>126</v>
      </c>
      <c r="O64">
        <f t="shared" si="21"/>
        <v>2.5960000000000001</v>
      </c>
      <c r="Q64">
        <f t="shared" si="9"/>
        <v>126</v>
      </c>
      <c r="R64">
        <v>1.8</v>
      </c>
      <c r="T64">
        <f t="shared" si="11"/>
        <v>126</v>
      </c>
      <c r="U64">
        <f t="shared" si="22"/>
        <v>2.2480000000000055</v>
      </c>
      <c r="W64">
        <f t="shared" si="13"/>
        <v>126</v>
      </c>
      <c r="X64">
        <f t="shared" si="23"/>
        <v>2.8480000000000056</v>
      </c>
      <c r="Z64">
        <f t="shared" si="15"/>
        <v>126</v>
      </c>
      <c r="AA64">
        <f t="shared" si="24"/>
        <v>3.1919999999999997</v>
      </c>
    </row>
    <row r="65" spans="2:27">
      <c r="B65">
        <f t="shared" si="0"/>
        <v>127</v>
      </c>
      <c r="C65">
        <f t="shared" si="17"/>
        <v>2.8380000000000059</v>
      </c>
      <c r="E65">
        <f t="shared" si="2"/>
        <v>127</v>
      </c>
      <c r="F65">
        <f t="shared" si="18"/>
        <v>2.6460000000000061</v>
      </c>
      <c r="H65">
        <f t="shared" si="4"/>
        <v>127</v>
      </c>
      <c r="I65">
        <f t="shared" si="19"/>
        <v>2.2743999999999964</v>
      </c>
      <c r="K65">
        <f t="shared" si="6"/>
        <v>127</v>
      </c>
      <c r="L65">
        <f t="shared" si="20"/>
        <v>2.4460000000000059</v>
      </c>
      <c r="N65">
        <f t="shared" si="7"/>
        <v>127</v>
      </c>
      <c r="O65">
        <f t="shared" si="21"/>
        <v>2.5920000000000001</v>
      </c>
      <c r="Q65">
        <f t="shared" si="9"/>
        <v>127</v>
      </c>
      <c r="R65">
        <v>1.8</v>
      </c>
      <c r="T65">
        <f t="shared" si="11"/>
        <v>127</v>
      </c>
      <c r="U65">
        <f t="shared" si="22"/>
        <v>2.2460000000000058</v>
      </c>
      <c r="W65">
        <f t="shared" si="13"/>
        <v>127</v>
      </c>
      <c r="X65">
        <f t="shared" si="23"/>
        <v>2.8460000000000059</v>
      </c>
      <c r="Z65">
        <f t="shared" si="15"/>
        <v>127</v>
      </c>
      <c r="AA65">
        <f t="shared" si="24"/>
        <v>3.1839999999999997</v>
      </c>
    </row>
    <row r="66" spans="2:27">
      <c r="B66">
        <f t="shared" si="0"/>
        <v>128</v>
      </c>
      <c r="C66">
        <f t="shared" si="17"/>
        <v>2.8320000000000061</v>
      </c>
      <c r="E66">
        <f t="shared" si="2"/>
        <v>128</v>
      </c>
      <c r="F66">
        <f t="shared" si="18"/>
        <v>2.6440000000000063</v>
      </c>
      <c r="H66">
        <f t="shared" si="4"/>
        <v>128</v>
      </c>
      <c r="I66">
        <f t="shared" si="19"/>
        <v>2.2715999999999963</v>
      </c>
      <c r="K66">
        <f t="shared" si="6"/>
        <v>128</v>
      </c>
      <c r="L66">
        <f t="shared" si="20"/>
        <v>2.4440000000000062</v>
      </c>
      <c r="N66">
        <f t="shared" si="7"/>
        <v>128</v>
      </c>
      <c r="O66">
        <f t="shared" si="21"/>
        <v>2.5880000000000001</v>
      </c>
      <c r="Q66">
        <f t="shared" si="9"/>
        <v>128</v>
      </c>
      <c r="R66">
        <v>1.8</v>
      </c>
      <c r="T66">
        <f t="shared" si="11"/>
        <v>128</v>
      </c>
      <c r="U66">
        <f t="shared" si="22"/>
        <v>2.244000000000006</v>
      </c>
      <c r="W66">
        <f t="shared" si="13"/>
        <v>128</v>
      </c>
      <c r="X66">
        <f t="shared" si="23"/>
        <v>2.8440000000000061</v>
      </c>
      <c r="Z66">
        <f t="shared" si="15"/>
        <v>128</v>
      </c>
      <c r="AA66">
        <f t="shared" si="24"/>
        <v>3.1759999999999997</v>
      </c>
    </row>
    <row r="67" spans="2:27">
      <c r="B67">
        <f t="shared" si="0"/>
        <v>129</v>
      </c>
      <c r="C67">
        <f t="shared" si="17"/>
        <v>2.8260000000000063</v>
      </c>
      <c r="E67">
        <f t="shared" si="2"/>
        <v>129</v>
      </c>
      <c r="F67">
        <f t="shared" si="18"/>
        <v>2.6420000000000066</v>
      </c>
      <c r="H67">
        <f t="shared" si="4"/>
        <v>129</v>
      </c>
      <c r="I67">
        <f t="shared" si="19"/>
        <v>2.2687999999999962</v>
      </c>
      <c r="K67">
        <f t="shared" si="6"/>
        <v>129</v>
      </c>
      <c r="L67">
        <f t="shared" si="20"/>
        <v>2.4420000000000064</v>
      </c>
      <c r="N67">
        <f t="shared" si="7"/>
        <v>129</v>
      </c>
      <c r="O67">
        <f t="shared" si="21"/>
        <v>2.5840000000000001</v>
      </c>
      <c r="Q67">
        <f t="shared" si="9"/>
        <v>129</v>
      </c>
      <c r="R67">
        <v>1.8</v>
      </c>
      <c r="T67">
        <f t="shared" si="11"/>
        <v>129</v>
      </c>
      <c r="U67">
        <f t="shared" si="22"/>
        <v>2.2420000000000062</v>
      </c>
      <c r="W67">
        <f t="shared" si="13"/>
        <v>129</v>
      </c>
      <c r="X67">
        <f t="shared" si="23"/>
        <v>2.8420000000000063</v>
      </c>
      <c r="Z67">
        <f t="shared" si="15"/>
        <v>129</v>
      </c>
      <c r="AA67">
        <f t="shared" si="24"/>
        <v>3.1679999999999997</v>
      </c>
    </row>
    <row r="68" spans="2:27">
      <c r="B68">
        <f t="shared" si="0"/>
        <v>130</v>
      </c>
      <c r="C68">
        <f t="shared" si="17"/>
        <v>2.8200000000000065</v>
      </c>
      <c r="E68">
        <f t="shared" si="2"/>
        <v>130</v>
      </c>
      <c r="F68">
        <f t="shared" si="18"/>
        <v>2.6400000000000068</v>
      </c>
      <c r="H68">
        <f t="shared" si="4"/>
        <v>130</v>
      </c>
      <c r="I68">
        <f t="shared" si="19"/>
        <v>2.265999999999996</v>
      </c>
      <c r="K68">
        <f t="shared" si="6"/>
        <v>130</v>
      </c>
      <c r="L68">
        <f t="shared" si="20"/>
        <v>2.4400000000000066</v>
      </c>
      <c r="N68">
        <f t="shared" si="7"/>
        <v>130</v>
      </c>
      <c r="O68">
        <f t="shared" si="21"/>
        <v>2.58</v>
      </c>
      <c r="Q68">
        <f t="shared" si="9"/>
        <v>130</v>
      </c>
      <c r="R68">
        <v>1.8</v>
      </c>
      <c r="T68">
        <f t="shared" si="11"/>
        <v>130</v>
      </c>
      <c r="U68">
        <f t="shared" si="22"/>
        <v>2.2400000000000064</v>
      </c>
      <c r="W68">
        <f t="shared" si="13"/>
        <v>130</v>
      </c>
      <c r="X68">
        <f t="shared" si="23"/>
        <v>2.8400000000000065</v>
      </c>
      <c r="Z68">
        <f t="shared" si="15"/>
        <v>130</v>
      </c>
      <c r="AA68">
        <f t="shared" si="24"/>
        <v>3.1599999999999997</v>
      </c>
    </row>
    <row r="69" spans="2:27">
      <c r="B69">
        <f t="shared" si="0"/>
        <v>131</v>
      </c>
      <c r="C69">
        <f t="shared" si="17"/>
        <v>2.8140000000000067</v>
      </c>
      <c r="E69">
        <f t="shared" si="2"/>
        <v>131</v>
      </c>
      <c r="F69">
        <f t="shared" si="18"/>
        <v>2.638000000000007</v>
      </c>
      <c r="H69">
        <f t="shared" si="4"/>
        <v>131</v>
      </c>
      <c r="I69">
        <f t="shared" si="19"/>
        <v>2.2631999999999959</v>
      </c>
      <c r="K69">
        <f t="shared" si="6"/>
        <v>131</v>
      </c>
      <c r="L69">
        <f t="shared" si="20"/>
        <v>2.4380000000000068</v>
      </c>
      <c r="N69">
        <f t="shared" si="7"/>
        <v>131</v>
      </c>
      <c r="O69">
        <f t="shared" si="21"/>
        <v>2.5760000000000001</v>
      </c>
      <c r="Q69">
        <f t="shared" si="9"/>
        <v>131</v>
      </c>
      <c r="R69">
        <v>1.8</v>
      </c>
      <c r="T69">
        <f t="shared" si="11"/>
        <v>131</v>
      </c>
      <c r="U69">
        <f t="shared" si="22"/>
        <v>2.2380000000000067</v>
      </c>
      <c r="W69">
        <f t="shared" si="13"/>
        <v>131</v>
      </c>
      <c r="X69">
        <f t="shared" si="23"/>
        <v>2.8380000000000067</v>
      </c>
      <c r="Z69">
        <f t="shared" si="15"/>
        <v>131</v>
      </c>
      <c r="AA69">
        <f t="shared" si="24"/>
        <v>3.1519999999999997</v>
      </c>
    </row>
    <row r="70" spans="2:27">
      <c r="B70">
        <f t="shared" si="0"/>
        <v>132</v>
      </c>
      <c r="C70">
        <f t="shared" si="17"/>
        <v>2.8080000000000069</v>
      </c>
      <c r="E70">
        <f t="shared" si="2"/>
        <v>132</v>
      </c>
      <c r="F70">
        <f t="shared" si="18"/>
        <v>2.6360000000000072</v>
      </c>
      <c r="H70">
        <f t="shared" si="4"/>
        <v>132</v>
      </c>
      <c r="I70">
        <f t="shared" si="19"/>
        <v>2.2603999999999957</v>
      </c>
      <c r="K70">
        <f t="shared" si="6"/>
        <v>132</v>
      </c>
      <c r="L70">
        <f t="shared" si="20"/>
        <v>2.436000000000007</v>
      </c>
      <c r="N70">
        <f t="shared" si="7"/>
        <v>132</v>
      </c>
      <c r="O70">
        <f t="shared" si="21"/>
        <v>2.5720000000000001</v>
      </c>
      <c r="Q70">
        <f t="shared" si="9"/>
        <v>132</v>
      </c>
      <c r="R70">
        <v>1.8</v>
      </c>
      <c r="T70">
        <f t="shared" si="11"/>
        <v>132</v>
      </c>
      <c r="U70">
        <f t="shared" si="22"/>
        <v>2.2360000000000069</v>
      </c>
      <c r="W70">
        <f t="shared" si="13"/>
        <v>132</v>
      </c>
      <c r="X70">
        <f t="shared" si="23"/>
        <v>2.836000000000007</v>
      </c>
      <c r="Z70">
        <f t="shared" si="15"/>
        <v>132</v>
      </c>
      <c r="AA70">
        <f t="shared" si="24"/>
        <v>3.1439999999999997</v>
      </c>
    </row>
    <row r="71" spans="2:27">
      <c r="B71">
        <f t="shared" si="0"/>
        <v>133</v>
      </c>
      <c r="C71">
        <f t="shared" si="17"/>
        <v>2.8020000000000072</v>
      </c>
      <c r="E71">
        <f t="shared" si="2"/>
        <v>133</v>
      </c>
      <c r="F71">
        <f t="shared" si="18"/>
        <v>2.6340000000000074</v>
      </c>
      <c r="H71">
        <f t="shared" si="4"/>
        <v>133</v>
      </c>
      <c r="I71">
        <f t="shared" si="19"/>
        <v>2.2575999999999956</v>
      </c>
      <c r="K71">
        <f t="shared" si="6"/>
        <v>133</v>
      </c>
      <c r="L71">
        <f t="shared" si="20"/>
        <v>2.4340000000000073</v>
      </c>
      <c r="N71">
        <f t="shared" si="7"/>
        <v>133</v>
      </c>
      <c r="O71">
        <f t="shared" si="21"/>
        <v>2.5680000000000001</v>
      </c>
      <c r="Q71">
        <f t="shared" si="9"/>
        <v>133</v>
      </c>
      <c r="R71">
        <v>1.8</v>
      </c>
      <c r="T71">
        <f t="shared" si="11"/>
        <v>133</v>
      </c>
      <c r="U71">
        <f t="shared" si="22"/>
        <v>2.2340000000000071</v>
      </c>
      <c r="W71">
        <f t="shared" si="13"/>
        <v>133</v>
      </c>
      <c r="X71">
        <f t="shared" si="23"/>
        <v>2.8340000000000072</v>
      </c>
      <c r="Z71">
        <f t="shared" si="15"/>
        <v>133</v>
      </c>
      <c r="AA71">
        <f t="shared" si="24"/>
        <v>3.1359999999999997</v>
      </c>
    </row>
    <row r="72" spans="2:27">
      <c r="B72">
        <f t="shared" si="0"/>
        <v>134</v>
      </c>
      <c r="C72">
        <f t="shared" si="17"/>
        <v>2.7960000000000074</v>
      </c>
      <c r="E72">
        <f t="shared" si="2"/>
        <v>134</v>
      </c>
      <c r="F72">
        <f t="shared" si="18"/>
        <v>2.6320000000000077</v>
      </c>
      <c r="H72">
        <f t="shared" si="4"/>
        <v>134</v>
      </c>
      <c r="I72">
        <f t="shared" si="19"/>
        <v>2.2547999999999955</v>
      </c>
      <c r="K72">
        <f t="shared" si="6"/>
        <v>134</v>
      </c>
      <c r="L72">
        <f t="shared" si="20"/>
        <v>2.4320000000000075</v>
      </c>
      <c r="N72">
        <f t="shared" si="7"/>
        <v>134</v>
      </c>
      <c r="O72">
        <f t="shared" si="21"/>
        <v>2.5640000000000001</v>
      </c>
      <c r="Q72">
        <f t="shared" si="9"/>
        <v>134</v>
      </c>
      <c r="R72">
        <v>1.8</v>
      </c>
      <c r="T72">
        <f t="shared" si="11"/>
        <v>134</v>
      </c>
      <c r="U72">
        <f t="shared" si="22"/>
        <v>2.2320000000000073</v>
      </c>
      <c r="W72">
        <f t="shared" si="13"/>
        <v>134</v>
      </c>
      <c r="X72">
        <f t="shared" si="23"/>
        <v>2.8320000000000074</v>
      </c>
      <c r="Z72">
        <f t="shared" si="15"/>
        <v>134</v>
      </c>
      <c r="AA72">
        <f t="shared" si="24"/>
        <v>3.1279999999999997</v>
      </c>
    </row>
    <row r="73" spans="2:27">
      <c r="B73">
        <f t="shared" si="0"/>
        <v>135</v>
      </c>
      <c r="C73">
        <f t="shared" si="17"/>
        <v>2.7900000000000076</v>
      </c>
      <c r="E73">
        <f t="shared" si="2"/>
        <v>135</v>
      </c>
      <c r="F73">
        <f t="shared" si="18"/>
        <v>2.6300000000000079</v>
      </c>
      <c r="H73">
        <f t="shared" si="4"/>
        <v>135</v>
      </c>
      <c r="I73">
        <f t="shared" si="19"/>
        <v>2.2519999999999953</v>
      </c>
      <c r="K73">
        <f t="shared" si="6"/>
        <v>135</v>
      </c>
      <c r="L73">
        <f t="shared" si="20"/>
        <v>2.4300000000000077</v>
      </c>
      <c r="N73">
        <f t="shared" si="7"/>
        <v>135</v>
      </c>
      <c r="O73">
        <f t="shared" si="21"/>
        <v>2.56</v>
      </c>
      <c r="Q73">
        <f t="shared" si="9"/>
        <v>135</v>
      </c>
      <c r="R73">
        <v>1.8</v>
      </c>
      <c r="T73">
        <f t="shared" si="11"/>
        <v>135</v>
      </c>
      <c r="U73">
        <f t="shared" si="22"/>
        <v>2.2300000000000075</v>
      </c>
      <c r="W73">
        <f t="shared" si="13"/>
        <v>135</v>
      </c>
      <c r="X73">
        <f t="shared" si="23"/>
        <v>2.8300000000000076</v>
      </c>
      <c r="Z73">
        <f t="shared" si="15"/>
        <v>135</v>
      </c>
      <c r="AA73">
        <f t="shared" si="24"/>
        <v>3.1199999999999997</v>
      </c>
    </row>
    <row r="74" spans="2:27">
      <c r="B74">
        <f t="shared" si="0"/>
        <v>136</v>
      </c>
      <c r="C74">
        <f t="shared" si="17"/>
        <v>2.7840000000000078</v>
      </c>
      <c r="E74">
        <f t="shared" si="2"/>
        <v>136</v>
      </c>
      <c r="F74">
        <f t="shared" si="18"/>
        <v>2.6280000000000081</v>
      </c>
      <c r="H74">
        <f t="shared" si="4"/>
        <v>136</v>
      </c>
      <c r="I74">
        <f t="shared" si="19"/>
        <v>2.2491999999999952</v>
      </c>
      <c r="K74">
        <f t="shared" si="6"/>
        <v>136</v>
      </c>
      <c r="L74">
        <f t="shared" si="20"/>
        <v>2.4280000000000079</v>
      </c>
      <c r="N74">
        <f t="shared" si="7"/>
        <v>136</v>
      </c>
      <c r="O74">
        <f t="shared" si="21"/>
        <v>2.556</v>
      </c>
      <c r="Q74">
        <f t="shared" si="9"/>
        <v>136</v>
      </c>
      <c r="R74">
        <v>1.8</v>
      </c>
      <c r="T74">
        <f t="shared" si="11"/>
        <v>136</v>
      </c>
      <c r="U74">
        <f t="shared" si="22"/>
        <v>2.2280000000000078</v>
      </c>
      <c r="W74">
        <f t="shared" si="13"/>
        <v>136</v>
      </c>
      <c r="X74">
        <f t="shared" si="23"/>
        <v>2.8280000000000078</v>
      </c>
      <c r="Z74">
        <f t="shared" si="15"/>
        <v>136</v>
      </c>
      <c r="AA74">
        <f t="shared" si="24"/>
        <v>3.1119999999999997</v>
      </c>
    </row>
    <row r="75" spans="2:27">
      <c r="B75">
        <f t="shared" si="0"/>
        <v>137</v>
      </c>
      <c r="C75">
        <f t="shared" si="17"/>
        <v>2.778000000000008</v>
      </c>
      <c r="E75">
        <f t="shared" si="2"/>
        <v>137</v>
      </c>
      <c r="F75">
        <f t="shared" si="18"/>
        <v>2.6260000000000083</v>
      </c>
      <c r="H75">
        <f t="shared" si="4"/>
        <v>137</v>
      </c>
      <c r="I75">
        <f t="shared" si="19"/>
        <v>2.2463999999999951</v>
      </c>
      <c r="K75">
        <f t="shared" si="6"/>
        <v>137</v>
      </c>
      <c r="L75">
        <f t="shared" si="20"/>
        <v>2.4260000000000081</v>
      </c>
      <c r="N75">
        <f t="shared" si="7"/>
        <v>137</v>
      </c>
      <c r="O75">
        <f t="shared" si="21"/>
        <v>2.552</v>
      </c>
      <c r="Q75">
        <f t="shared" si="9"/>
        <v>137</v>
      </c>
      <c r="R75">
        <v>1.8</v>
      </c>
      <c r="T75">
        <f t="shared" si="11"/>
        <v>137</v>
      </c>
      <c r="U75">
        <f t="shared" si="22"/>
        <v>2.226000000000008</v>
      </c>
      <c r="W75">
        <f t="shared" si="13"/>
        <v>137</v>
      </c>
      <c r="X75">
        <f t="shared" si="23"/>
        <v>2.8260000000000081</v>
      </c>
      <c r="Z75">
        <f t="shared" si="15"/>
        <v>137</v>
      </c>
      <c r="AA75">
        <f t="shared" si="24"/>
        <v>3.1039999999999996</v>
      </c>
    </row>
    <row r="76" spans="2:27">
      <c r="B76">
        <f t="shared" si="0"/>
        <v>138</v>
      </c>
      <c r="C76">
        <f t="shared" si="17"/>
        <v>2.7720000000000082</v>
      </c>
      <c r="E76">
        <f t="shared" si="2"/>
        <v>138</v>
      </c>
      <c r="F76">
        <f t="shared" si="18"/>
        <v>2.6240000000000085</v>
      </c>
      <c r="H76">
        <f t="shared" si="4"/>
        <v>138</v>
      </c>
      <c r="I76">
        <f t="shared" si="19"/>
        <v>2.2435999999999949</v>
      </c>
      <c r="K76">
        <f t="shared" si="6"/>
        <v>138</v>
      </c>
      <c r="L76">
        <f t="shared" si="20"/>
        <v>2.4240000000000084</v>
      </c>
      <c r="N76">
        <f t="shared" si="7"/>
        <v>138</v>
      </c>
      <c r="O76">
        <f t="shared" si="21"/>
        <v>2.548</v>
      </c>
      <c r="Q76">
        <f t="shared" si="9"/>
        <v>138</v>
      </c>
      <c r="R76">
        <v>1.8</v>
      </c>
      <c r="T76">
        <f t="shared" si="11"/>
        <v>138</v>
      </c>
      <c r="U76">
        <f t="shared" si="22"/>
        <v>2.2240000000000082</v>
      </c>
      <c r="W76">
        <f t="shared" si="13"/>
        <v>138</v>
      </c>
      <c r="X76">
        <f t="shared" si="23"/>
        <v>2.8240000000000083</v>
      </c>
      <c r="Z76">
        <f t="shared" si="15"/>
        <v>138</v>
      </c>
      <c r="AA76">
        <f t="shared" si="24"/>
        <v>3.0959999999999996</v>
      </c>
    </row>
    <row r="77" spans="2:27">
      <c r="B77">
        <f>B76+1</f>
        <v>139</v>
      </c>
      <c r="C77">
        <f>C76-0.006</f>
        <v>2.7660000000000085</v>
      </c>
      <c r="E77">
        <f>E76+1</f>
        <v>139</v>
      </c>
      <c r="F77">
        <f>F76-0.002</f>
        <v>2.6220000000000088</v>
      </c>
      <c r="H77">
        <f>H76+1</f>
        <v>139</v>
      </c>
      <c r="I77">
        <f t="shared" si="19"/>
        <v>2.2407999999999948</v>
      </c>
      <c r="K77">
        <f>K76+1</f>
        <v>139</v>
      </c>
      <c r="L77">
        <f>L76-0.002</f>
        <v>2.4220000000000086</v>
      </c>
      <c r="N77">
        <f>N76+1</f>
        <v>139</v>
      </c>
      <c r="O77">
        <f>O76-0.004</f>
        <v>2.544</v>
      </c>
      <c r="Q77">
        <f>Q76+1</f>
        <v>139</v>
      </c>
      <c r="R77">
        <v>1.8</v>
      </c>
      <c r="T77">
        <f>T76+1</f>
        <v>139</v>
      </c>
      <c r="U77">
        <f>U76-0.002</f>
        <v>2.2220000000000084</v>
      </c>
      <c r="W77">
        <f>W76+1</f>
        <v>139</v>
      </c>
      <c r="X77">
        <f>X76-0.002</f>
        <v>2.8220000000000085</v>
      </c>
      <c r="Z77">
        <f>Z76+1</f>
        <v>139</v>
      </c>
      <c r="AA77">
        <f>AA76-0.008</f>
        <v>3.0879999999999996</v>
      </c>
    </row>
    <row r="78" spans="2:27">
      <c r="B78">
        <f t="shared" si="0"/>
        <v>140</v>
      </c>
      <c r="C78">
        <f t="shared" si="17"/>
        <v>2.7600000000000087</v>
      </c>
      <c r="E78">
        <f t="shared" si="2"/>
        <v>140</v>
      </c>
      <c r="F78">
        <f t="shared" si="18"/>
        <v>2.620000000000009</v>
      </c>
      <c r="H78">
        <f t="shared" si="4"/>
        <v>140</v>
      </c>
      <c r="I78">
        <f t="shared" si="19"/>
        <v>2.2379999999999947</v>
      </c>
      <c r="K78">
        <f t="shared" si="6"/>
        <v>140</v>
      </c>
      <c r="L78">
        <f t="shared" si="20"/>
        <v>2.4200000000000088</v>
      </c>
      <c r="N78">
        <f t="shared" si="7"/>
        <v>140</v>
      </c>
      <c r="O78">
        <f t="shared" si="21"/>
        <v>2.54</v>
      </c>
      <c r="Q78">
        <f t="shared" si="9"/>
        <v>140</v>
      </c>
      <c r="R78">
        <v>1.8</v>
      </c>
      <c r="T78">
        <f t="shared" si="11"/>
        <v>140</v>
      </c>
      <c r="U78">
        <f t="shared" si="22"/>
        <v>2.2200000000000086</v>
      </c>
      <c r="W78">
        <f t="shared" si="13"/>
        <v>140</v>
      </c>
      <c r="X78">
        <f t="shared" si="23"/>
        <v>2.8200000000000087</v>
      </c>
      <c r="Z78">
        <f t="shared" si="15"/>
        <v>140</v>
      </c>
      <c r="AA78">
        <f t="shared" si="24"/>
        <v>3.0799999999999996</v>
      </c>
    </row>
    <row r="79" spans="2:27">
      <c r="B79">
        <f t="shared" si="0"/>
        <v>141</v>
      </c>
      <c r="C79">
        <f t="shared" si="17"/>
        <v>2.7540000000000089</v>
      </c>
      <c r="E79">
        <f t="shared" si="2"/>
        <v>141</v>
      </c>
      <c r="F79">
        <f t="shared" si="18"/>
        <v>2.6180000000000092</v>
      </c>
      <c r="H79">
        <f t="shared" si="4"/>
        <v>141</v>
      </c>
      <c r="I79">
        <f t="shared" si="19"/>
        <v>2.2351999999999945</v>
      </c>
      <c r="K79">
        <f t="shared" si="6"/>
        <v>141</v>
      </c>
      <c r="L79">
        <f t="shared" si="20"/>
        <v>2.418000000000009</v>
      </c>
      <c r="N79">
        <f t="shared" si="7"/>
        <v>141</v>
      </c>
      <c r="O79">
        <f t="shared" si="21"/>
        <v>2.536</v>
      </c>
      <c r="Q79">
        <f t="shared" si="9"/>
        <v>141</v>
      </c>
      <c r="R79">
        <v>1.8</v>
      </c>
      <c r="T79">
        <f t="shared" si="11"/>
        <v>141</v>
      </c>
      <c r="U79">
        <f t="shared" si="22"/>
        <v>2.2180000000000089</v>
      </c>
      <c r="W79">
        <f t="shared" si="13"/>
        <v>141</v>
      </c>
      <c r="X79">
        <f t="shared" si="23"/>
        <v>2.8180000000000089</v>
      </c>
      <c r="Z79">
        <f t="shared" si="15"/>
        <v>141</v>
      </c>
      <c r="AA79">
        <f t="shared" si="24"/>
        <v>3.0719999999999996</v>
      </c>
    </row>
    <row r="80" spans="2:27">
      <c r="B80">
        <f t="shared" si="0"/>
        <v>142</v>
      </c>
      <c r="C80">
        <f t="shared" si="17"/>
        <v>2.7480000000000091</v>
      </c>
      <c r="E80">
        <f t="shared" si="2"/>
        <v>142</v>
      </c>
      <c r="F80">
        <f t="shared" si="18"/>
        <v>2.6160000000000094</v>
      </c>
      <c r="H80">
        <f t="shared" si="4"/>
        <v>142</v>
      </c>
      <c r="I80">
        <f t="shared" si="19"/>
        <v>2.2323999999999944</v>
      </c>
      <c r="K80">
        <f t="shared" si="6"/>
        <v>142</v>
      </c>
      <c r="L80">
        <f t="shared" si="20"/>
        <v>2.4160000000000093</v>
      </c>
      <c r="N80">
        <f t="shared" si="7"/>
        <v>142</v>
      </c>
      <c r="O80">
        <f t="shared" si="21"/>
        <v>2.532</v>
      </c>
      <c r="Q80">
        <f t="shared" si="9"/>
        <v>142</v>
      </c>
      <c r="R80">
        <v>1.8</v>
      </c>
      <c r="T80">
        <f t="shared" si="11"/>
        <v>142</v>
      </c>
      <c r="U80">
        <f t="shared" si="22"/>
        <v>2.2160000000000091</v>
      </c>
      <c r="W80">
        <f t="shared" si="13"/>
        <v>142</v>
      </c>
      <c r="X80">
        <f t="shared" si="23"/>
        <v>2.8160000000000092</v>
      </c>
      <c r="Z80">
        <f t="shared" si="15"/>
        <v>142</v>
      </c>
      <c r="AA80">
        <f t="shared" si="24"/>
        <v>3.0639999999999996</v>
      </c>
    </row>
    <row r="81" spans="2:27">
      <c r="B81">
        <f t="shared" si="0"/>
        <v>143</v>
      </c>
      <c r="C81">
        <f t="shared" si="17"/>
        <v>2.7420000000000093</v>
      </c>
      <c r="E81">
        <f t="shared" si="2"/>
        <v>143</v>
      </c>
      <c r="F81">
        <f t="shared" si="18"/>
        <v>2.6140000000000096</v>
      </c>
      <c r="H81">
        <f t="shared" si="4"/>
        <v>143</v>
      </c>
      <c r="I81">
        <f t="shared" si="19"/>
        <v>2.2295999999999943</v>
      </c>
      <c r="K81">
        <f t="shared" si="6"/>
        <v>143</v>
      </c>
      <c r="L81">
        <f t="shared" si="20"/>
        <v>2.4140000000000095</v>
      </c>
      <c r="N81">
        <f t="shared" si="7"/>
        <v>143</v>
      </c>
      <c r="O81">
        <f t="shared" si="21"/>
        <v>2.528</v>
      </c>
      <c r="Q81">
        <f t="shared" si="9"/>
        <v>143</v>
      </c>
      <c r="R81">
        <v>1.8</v>
      </c>
      <c r="T81">
        <f t="shared" si="11"/>
        <v>143</v>
      </c>
      <c r="U81">
        <f t="shared" si="22"/>
        <v>2.2140000000000093</v>
      </c>
      <c r="W81">
        <f t="shared" si="13"/>
        <v>143</v>
      </c>
      <c r="X81">
        <f t="shared" si="23"/>
        <v>2.8140000000000094</v>
      </c>
      <c r="Z81">
        <f t="shared" si="15"/>
        <v>143</v>
      </c>
      <c r="AA81">
        <f t="shared" si="24"/>
        <v>3.0559999999999996</v>
      </c>
    </row>
    <row r="82" spans="2:27">
      <c r="B82">
        <f t="shared" si="0"/>
        <v>144</v>
      </c>
      <c r="C82">
        <f t="shared" si="17"/>
        <v>2.7360000000000095</v>
      </c>
      <c r="E82">
        <f t="shared" si="2"/>
        <v>144</v>
      </c>
      <c r="F82">
        <f t="shared" si="18"/>
        <v>2.6120000000000099</v>
      </c>
      <c r="H82">
        <f t="shared" si="4"/>
        <v>144</v>
      </c>
      <c r="I82">
        <f t="shared" si="19"/>
        <v>2.2267999999999941</v>
      </c>
      <c r="K82">
        <f t="shared" si="6"/>
        <v>144</v>
      </c>
      <c r="L82">
        <f t="shared" si="20"/>
        <v>2.4120000000000097</v>
      </c>
      <c r="N82">
        <f t="shared" si="7"/>
        <v>144</v>
      </c>
      <c r="O82">
        <f t="shared" si="21"/>
        <v>2.524</v>
      </c>
      <c r="Q82">
        <f t="shared" si="9"/>
        <v>144</v>
      </c>
      <c r="R82">
        <v>1.8</v>
      </c>
      <c r="T82">
        <f t="shared" si="11"/>
        <v>144</v>
      </c>
      <c r="U82">
        <f t="shared" si="22"/>
        <v>2.2120000000000095</v>
      </c>
      <c r="W82">
        <f t="shared" si="13"/>
        <v>144</v>
      </c>
      <c r="X82">
        <f t="shared" si="23"/>
        <v>2.8120000000000096</v>
      </c>
      <c r="Z82">
        <f t="shared" si="15"/>
        <v>144</v>
      </c>
      <c r="AA82">
        <f t="shared" si="24"/>
        <v>3.0479999999999996</v>
      </c>
    </row>
    <row r="83" spans="2:27">
      <c r="B83">
        <f t="shared" si="0"/>
        <v>145</v>
      </c>
      <c r="C83">
        <f t="shared" si="17"/>
        <v>2.7300000000000098</v>
      </c>
      <c r="E83">
        <f t="shared" si="2"/>
        <v>145</v>
      </c>
      <c r="F83">
        <f t="shared" si="18"/>
        <v>2.6100000000000101</v>
      </c>
      <c r="H83">
        <f t="shared" si="4"/>
        <v>145</v>
      </c>
      <c r="I83">
        <f t="shared" si="19"/>
        <v>2.223999999999994</v>
      </c>
      <c r="K83">
        <f t="shared" si="6"/>
        <v>145</v>
      </c>
      <c r="L83">
        <f t="shared" si="20"/>
        <v>2.4100000000000099</v>
      </c>
      <c r="N83">
        <f t="shared" si="7"/>
        <v>145</v>
      </c>
      <c r="O83">
        <f t="shared" si="21"/>
        <v>2.52</v>
      </c>
      <c r="Q83">
        <f t="shared" si="9"/>
        <v>145</v>
      </c>
      <c r="R83">
        <v>1.8</v>
      </c>
      <c r="T83">
        <f t="shared" si="11"/>
        <v>145</v>
      </c>
      <c r="U83">
        <f t="shared" si="22"/>
        <v>2.2100000000000097</v>
      </c>
      <c r="W83">
        <f t="shared" si="13"/>
        <v>145</v>
      </c>
      <c r="X83">
        <f t="shared" si="23"/>
        <v>2.8100000000000098</v>
      </c>
      <c r="Z83">
        <f t="shared" si="15"/>
        <v>145</v>
      </c>
      <c r="AA83">
        <f t="shared" si="24"/>
        <v>3.0399999999999996</v>
      </c>
    </row>
    <row r="84" spans="2:27">
      <c r="B84">
        <f t="shared" ref="B84:B147" si="25">B83+1</f>
        <v>146</v>
      </c>
      <c r="C84">
        <f t="shared" si="17"/>
        <v>2.72400000000001</v>
      </c>
      <c r="E84">
        <f t="shared" ref="E84:E147" si="26">E83+1</f>
        <v>146</v>
      </c>
      <c r="F84">
        <f t="shared" si="18"/>
        <v>2.6080000000000103</v>
      </c>
      <c r="H84">
        <f t="shared" ref="H84:H147" si="27">H83+1</f>
        <v>146</v>
      </c>
      <c r="I84">
        <f t="shared" si="19"/>
        <v>2.2211999999999938</v>
      </c>
      <c r="K84">
        <f t="shared" ref="K84:K147" si="28">K83+1</f>
        <v>146</v>
      </c>
      <c r="L84">
        <f t="shared" si="20"/>
        <v>2.4080000000000101</v>
      </c>
      <c r="N84">
        <f t="shared" ref="N84:N147" si="29">N83+1</f>
        <v>146</v>
      </c>
      <c r="O84">
        <f t="shared" si="21"/>
        <v>2.516</v>
      </c>
      <c r="Q84">
        <f t="shared" ref="Q84:Q147" si="30">Q83+1</f>
        <v>146</v>
      </c>
      <c r="R84">
        <v>1.8</v>
      </c>
      <c r="T84">
        <f t="shared" ref="T84:T147" si="31">T83+1</f>
        <v>146</v>
      </c>
      <c r="U84">
        <f t="shared" si="22"/>
        <v>2.20800000000001</v>
      </c>
      <c r="W84">
        <f t="shared" ref="W84:W147" si="32">W83+1</f>
        <v>146</v>
      </c>
      <c r="X84">
        <f t="shared" si="23"/>
        <v>2.80800000000001</v>
      </c>
      <c r="Z84">
        <f t="shared" ref="Z84:Z147" si="33">Z83+1</f>
        <v>146</v>
      </c>
      <c r="AA84">
        <f t="shared" si="24"/>
        <v>3.0319999999999996</v>
      </c>
    </row>
    <row r="85" spans="2:27">
      <c r="B85">
        <f t="shared" si="25"/>
        <v>147</v>
      </c>
      <c r="C85">
        <f t="shared" si="17"/>
        <v>2.7180000000000102</v>
      </c>
      <c r="E85">
        <f t="shared" si="26"/>
        <v>147</v>
      </c>
      <c r="F85">
        <f t="shared" si="18"/>
        <v>2.6060000000000105</v>
      </c>
      <c r="H85">
        <f t="shared" si="27"/>
        <v>147</v>
      </c>
      <c r="I85">
        <f t="shared" si="19"/>
        <v>2.2183999999999937</v>
      </c>
      <c r="K85">
        <f t="shared" si="28"/>
        <v>147</v>
      </c>
      <c r="L85">
        <f t="shared" si="20"/>
        <v>2.4060000000000104</v>
      </c>
      <c r="N85">
        <f t="shared" si="29"/>
        <v>147</v>
      </c>
      <c r="O85">
        <f t="shared" si="21"/>
        <v>2.512</v>
      </c>
      <c r="Q85">
        <f t="shared" si="30"/>
        <v>147</v>
      </c>
      <c r="R85">
        <v>1.8</v>
      </c>
      <c r="T85">
        <f t="shared" si="31"/>
        <v>147</v>
      </c>
      <c r="U85">
        <f t="shared" si="22"/>
        <v>2.2060000000000102</v>
      </c>
      <c r="W85">
        <f t="shared" si="32"/>
        <v>147</v>
      </c>
      <c r="X85">
        <f t="shared" si="23"/>
        <v>2.8060000000000103</v>
      </c>
      <c r="Z85">
        <f t="shared" si="33"/>
        <v>147</v>
      </c>
      <c r="AA85">
        <f t="shared" si="24"/>
        <v>3.0239999999999996</v>
      </c>
    </row>
    <row r="86" spans="2:27">
      <c r="B86">
        <f t="shared" si="25"/>
        <v>148</v>
      </c>
      <c r="C86">
        <f t="shared" si="17"/>
        <v>2.7120000000000104</v>
      </c>
      <c r="E86">
        <f t="shared" si="26"/>
        <v>148</v>
      </c>
      <c r="F86">
        <f t="shared" si="18"/>
        <v>2.6040000000000108</v>
      </c>
      <c r="H86">
        <f t="shared" si="27"/>
        <v>148</v>
      </c>
      <c r="I86">
        <f t="shared" si="19"/>
        <v>2.2155999999999936</v>
      </c>
      <c r="K86">
        <f t="shared" si="28"/>
        <v>148</v>
      </c>
      <c r="L86">
        <f t="shared" si="20"/>
        <v>2.4040000000000106</v>
      </c>
      <c r="N86">
        <f t="shared" si="29"/>
        <v>148</v>
      </c>
      <c r="O86">
        <f t="shared" si="21"/>
        <v>2.508</v>
      </c>
      <c r="Q86">
        <f t="shared" si="30"/>
        <v>148</v>
      </c>
      <c r="R86">
        <v>1.8</v>
      </c>
      <c r="T86">
        <f t="shared" si="31"/>
        <v>148</v>
      </c>
      <c r="U86">
        <f t="shared" si="22"/>
        <v>2.2040000000000104</v>
      </c>
      <c r="W86">
        <f t="shared" si="32"/>
        <v>148</v>
      </c>
      <c r="X86">
        <f t="shared" si="23"/>
        <v>2.8040000000000105</v>
      </c>
      <c r="Z86">
        <f t="shared" si="33"/>
        <v>148</v>
      </c>
      <c r="AA86">
        <f t="shared" si="24"/>
        <v>3.0159999999999996</v>
      </c>
    </row>
    <row r="87" spans="2:27">
      <c r="B87">
        <f t="shared" si="25"/>
        <v>149</v>
      </c>
      <c r="C87">
        <f t="shared" si="17"/>
        <v>2.7060000000000106</v>
      </c>
      <c r="E87">
        <f t="shared" si="26"/>
        <v>149</v>
      </c>
      <c r="F87">
        <f t="shared" si="18"/>
        <v>2.602000000000011</v>
      </c>
      <c r="H87">
        <f t="shared" si="27"/>
        <v>149</v>
      </c>
      <c r="I87">
        <f t="shared" si="19"/>
        <v>2.2127999999999934</v>
      </c>
      <c r="K87">
        <f t="shared" si="28"/>
        <v>149</v>
      </c>
      <c r="L87">
        <f t="shared" si="20"/>
        <v>2.4020000000000108</v>
      </c>
      <c r="N87">
        <f t="shared" si="29"/>
        <v>149</v>
      </c>
      <c r="O87">
        <f t="shared" si="21"/>
        <v>2.504</v>
      </c>
      <c r="Q87">
        <f t="shared" si="30"/>
        <v>149</v>
      </c>
      <c r="R87">
        <v>1.8</v>
      </c>
      <c r="T87">
        <f t="shared" si="31"/>
        <v>149</v>
      </c>
      <c r="U87">
        <f t="shared" si="22"/>
        <v>2.2020000000000106</v>
      </c>
      <c r="W87">
        <f t="shared" si="32"/>
        <v>149</v>
      </c>
      <c r="X87">
        <f t="shared" si="23"/>
        <v>2.8020000000000107</v>
      </c>
      <c r="Z87">
        <f t="shared" si="33"/>
        <v>149</v>
      </c>
      <c r="AA87">
        <f t="shared" si="24"/>
        <v>3.0079999999999996</v>
      </c>
    </row>
    <row r="88" spans="2:27">
      <c r="B88">
        <f t="shared" si="25"/>
        <v>150</v>
      </c>
      <c r="C88">
        <v>2.7</v>
      </c>
      <c r="E88">
        <f t="shared" si="26"/>
        <v>150</v>
      </c>
      <c r="F88">
        <v>2.6</v>
      </c>
      <c r="H88">
        <f t="shared" si="27"/>
        <v>150</v>
      </c>
      <c r="I88">
        <v>2.21</v>
      </c>
      <c r="K88">
        <f t="shared" si="28"/>
        <v>150</v>
      </c>
      <c r="L88">
        <v>2.4</v>
      </c>
      <c r="N88">
        <f t="shared" si="29"/>
        <v>150</v>
      </c>
      <c r="O88">
        <v>2.5</v>
      </c>
      <c r="Q88">
        <f t="shared" si="30"/>
        <v>150</v>
      </c>
      <c r="R88">
        <v>1.8</v>
      </c>
      <c r="T88">
        <f t="shared" si="31"/>
        <v>150</v>
      </c>
      <c r="U88">
        <v>2.2000000000000002</v>
      </c>
      <c r="W88">
        <f t="shared" si="32"/>
        <v>150</v>
      </c>
      <c r="X88">
        <v>2.8</v>
      </c>
      <c r="Z88">
        <f t="shared" si="33"/>
        <v>150</v>
      </c>
      <c r="AA88">
        <v>3</v>
      </c>
    </row>
    <row r="89" spans="2:27">
      <c r="B89">
        <f t="shared" si="25"/>
        <v>151</v>
      </c>
      <c r="C89">
        <f>C88-0.004</f>
        <v>2.6960000000000002</v>
      </c>
      <c r="E89">
        <f t="shared" si="26"/>
        <v>151</v>
      </c>
      <c r="F89">
        <f>F88-0.002</f>
        <v>2.5980000000000003</v>
      </c>
      <c r="H89">
        <f t="shared" si="27"/>
        <v>151</v>
      </c>
      <c r="I89">
        <f>I88-0.0014</f>
        <v>2.2086000000000001</v>
      </c>
      <c r="K89">
        <f t="shared" si="28"/>
        <v>151</v>
      </c>
      <c r="L89">
        <v>2.4</v>
      </c>
      <c r="N89">
        <f t="shared" si="29"/>
        <v>151</v>
      </c>
      <c r="O89">
        <f>O88-0.002</f>
        <v>2.4980000000000002</v>
      </c>
      <c r="Q89">
        <f t="shared" si="30"/>
        <v>151</v>
      </c>
      <c r="R89">
        <v>1.8</v>
      </c>
      <c r="T89">
        <f t="shared" si="31"/>
        <v>151</v>
      </c>
      <c r="U89">
        <f>U88-0.002</f>
        <v>2.1980000000000004</v>
      </c>
      <c r="W89">
        <f t="shared" si="32"/>
        <v>151</v>
      </c>
      <c r="X89">
        <v>2.8</v>
      </c>
      <c r="Z89">
        <f t="shared" si="33"/>
        <v>151</v>
      </c>
      <c r="AA89">
        <f>AA88-0.008</f>
        <v>2.992</v>
      </c>
    </row>
    <row r="90" spans="2:27">
      <c r="B90">
        <f t="shared" si="25"/>
        <v>152</v>
      </c>
      <c r="C90">
        <f t="shared" ref="C90:C137" si="34">C89-0.004</f>
        <v>2.6920000000000002</v>
      </c>
      <c r="E90">
        <f t="shared" si="26"/>
        <v>152</v>
      </c>
      <c r="F90">
        <f t="shared" ref="F90:F137" si="35">F89-0.002</f>
        <v>2.5960000000000005</v>
      </c>
      <c r="H90">
        <f t="shared" si="27"/>
        <v>152</v>
      </c>
      <c r="I90">
        <f t="shared" ref="I90:I137" si="36">I89-0.0014</f>
        <v>2.2072000000000003</v>
      </c>
      <c r="K90">
        <f t="shared" si="28"/>
        <v>152</v>
      </c>
      <c r="L90">
        <v>2.4</v>
      </c>
      <c r="N90">
        <f t="shared" si="29"/>
        <v>152</v>
      </c>
      <c r="O90">
        <f t="shared" ref="O90:O137" si="37">O89-0.002</f>
        <v>2.4960000000000004</v>
      </c>
      <c r="Q90">
        <f t="shared" si="30"/>
        <v>152</v>
      </c>
      <c r="R90">
        <v>1.8</v>
      </c>
      <c r="T90">
        <f t="shared" si="31"/>
        <v>152</v>
      </c>
      <c r="U90">
        <f t="shared" ref="U90:U137" si="38">U89-0.002</f>
        <v>2.1960000000000006</v>
      </c>
      <c r="W90">
        <f t="shared" si="32"/>
        <v>152</v>
      </c>
      <c r="X90">
        <v>2.8</v>
      </c>
      <c r="Z90">
        <f t="shared" si="33"/>
        <v>152</v>
      </c>
      <c r="AA90">
        <f t="shared" ref="AA90:AA138" si="39">AA89-0.008</f>
        <v>2.984</v>
      </c>
    </row>
    <row r="91" spans="2:27">
      <c r="B91">
        <f t="shared" si="25"/>
        <v>153</v>
      </c>
      <c r="C91">
        <f t="shared" si="34"/>
        <v>2.6880000000000002</v>
      </c>
      <c r="E91">
        <f t="shared" si="26"/>
        <v>153</v>
      </c>
      <c r="F91">
        <f t="shared" si="35"/>
        <v>2.5940000000000007</v>
      </c>
      <c r="H91">
        <f t="shared" si="27"/>
        <v>153</v>
      </c>
      <c r="I91">
        <f t="shared" si="36"/>
        <v>2.2058000000000004</v>
      </c>
      <c r="K91">
        <f t="shared" si="28"/>
        <v>153</v>
      </c>
      <c r="L91">
        <v>2.4</v>
      </c>
      <c r="N91">
        <f t="shared" si="29"/>
        <v>153</v>
      </c>
      <c r="O91">
        <f t="shared" si="37"/>
        <v>2.4940000000000007</v>
      </c>
      <c r="Q91">
        <f t="shared" si="30"/>
        <v>153</v>
      </c>
      <c r="R91">
        <v>1.8</v>
      </c>
      <c r="T91">
        <f t="shared" si="31"/>
        <v>153</v>
      </c>
      <c r="U91">
        <f t="shared" si="38"/>
        <v>2.1940000000000008</v>
      </c>
      <c r="W91">
        <f t="shared" si="32"/>
        <v>153</v>
      </c>
      <c r="X91">
        <v>2.8</v>
      </c>
      <c r="Z91">
        <f t="shared" si="33"/>
        <v>153</v>
      </c>
      <c r="AA91">
        <f t="shared" si="39"/>
        <v>2.976</v>
      </c>
    </row>
    <row r="92" spans="2:27">
      <c r="B92">
        <f t="shared" si="25"/>
        <v>154</v>
      </c>
      <c r="C92">
        <f t="shared" si="34"/>
        <v>2.6840000000000002</v>
      </c>
      <c r="E92">
        <f t="shared" si="26"/>
        <v>154</v>
      </c>
      <c r="F92">
        <f t="shared" si="35"/>
        <v>2.592000000000001</v>
      </c>
      <c r="H92">
        <f t="shared" si="27"/>
        <v>154</v>
      </c>
      <c r="I92">
        <f t="shared" si="36"/>
        <v>2.2044000000000006</v>
      </c>
      <c r="K92">
        <f t="shared" si="28"/>
        <v>154</v>
      </c>
      <c r="L92">
        <v>2.4</v>
      </c>
      <c r="N92">
        <f t="shared" si="29"/>
        <v>154</v>
      </c>
      <c r="O92">
        <f t="shared" si="37"/>
        <v>2.4920000000000009</v>
      </c>
      <c r="Q92">
        <f t="shared" si="30"/>
        <v>154</v>
      </c>
      <c r="R92">
        <v>1.8</v>
      </c>
      <c r="T92">
        <f t="shared" si="31"/>
        <v>154</v>
      </c>
      <c r="U92">
        <f t="shared" si="38"/>
        <v>2.1920000000000011</v>
      </c>
      <c r="W92">
        <f t="shared" si="32"/>
        <v>154</v>
      </c>
      <c r="X92">
        <v>2.8</v>
      </c>
      <c r="Z92">
        <f t="shared" si="33"/>
        <v>154</v>
      </c>
      <c r="AA92">
        <f t="shared" si="39"/>
        <v>2.968</v>
      </c>
    </row>
    <row r="93" spans="2:27">
      <c r="B93">
        <f t="shared" si="25"/>
        <v>155</v>
      </c>
      <c r="C93">
        <f t="shared" si="34"/>
        <v>2.68</v>
      </c>
      <c r="E93">
        <f t="shared" si="26"/>
        <v>155</v>
      </c>
      <c r="F93">
        <f t="shared" si="35"/>
        <v>2.5900000000000012</v>
      </c>
      <c r="H93">
        <f t="shared" si="27"/>
        <v>155</v>
      </c>
      <c r="I93">
        <f t="shared" si="36"/>
        <v>2.2030000000000007</v>
      </c>
      <c r="K93">
        <f t="shared" si="28"/>
        <v>155</v>
      </c>
      <c r="L93">
        <v>2.4</v>
      </c>
      <c r="N93">
        <f t="shared" si="29"/>
        <v>155</v>
      </c>
      <c r="O93">
        <f t="shared" si="37"/>
        <v>2.4900000000000011</v>
      </c>
      <c r="Q93">
        <f t="shared" si="30"/>
        <v>155</v>
      </c>
      <c r="R93">
        <v>1.8</v>
      </c>
      <c r="T93">
        <f t="shared" si="31"/>
        <v>155</v>
      </c>
      <c r="U93">
        <f t="shared" si="38"/>
        <v>2.1900000000000013</v>
      </c>
      <c r="W93">
        <f t="shared" si="32"/>
        <v>155</v>
      </c>
      <c r="X93">
        <v>2.8</v>
      </c>
      <c r="Z93">
        <f t="shared" si="33"/>
        <v>155</v>
      </c>
      <c r="AA93">
        <f t="shared" si="39"/>
        <v>2.96</v>
      </c>
    </row>
    <row r="94" spans="2:27">
      <c r="B94">
        <f t="shared" si="25"/>
        <v>156</v>
      </c>
      <c r="C94">
        <f t="shared" si="34"/>
        <v>2.6760000000000002</v>
      </c>
      <c r="E94">
        <f t="shared" si="26"/>
        <v>156</v>
      </c>
      <c r="F94">
        <f t="shared" si="35"/>
        <v>2.5880000000000014</v>
      </c>
      <c r="H94">
        <f t="shared" si="27"/>
        <v>156</v>
      </c>
      <c r="I94">
        <f t="shared" si="36"/>
        <v>2.2016000000000009</v>
      </c>
      <c r="K94">
        <f t="shared" si="28"/>
        <v>156</v>
      </c>
      <c r="L94">
        <v>2.4</v>
      </c>
      <c r="N94">
        <f t="shared" si="29"/>
        <v>156</v>
      </c>
      <c r="O94">
        <f t="shared" si="37"/>
        <v>2.4880000000000013</v>
      </c>
      <c r="Q94">
        <f t="shared" si="30"/>
        <v>156</v>
      </c>
      <c r="R94">
        <v>1.8</v>
      </c>
      <c r="T94">
        <f t="shared" si="31"/>
        <v>156</v>
      </c>
      <c r="U94">
        <f t="shared" si="38"/>
        <v>2.1880000000000015</v>
      </c>
      <c r="W94">
        <f t="shared" si="32"/>
        <v>156</v>
      </c>
      <c r="X94">
        <v>2.8</v>
      </c>
      <c r="Z94">
        <f t="shared" si="33"/>
        <v>156</v>
      </c>
      <c r="AA94">
        <f t="shared" si="39"/>
        <v>2.952</v>
      </c>
    </row>
    <row r="95" spans="2:27">
      <c r="B95">
        <f t="shared" si="25"/>
        <v>157</v>
      </c>
      <c r="C95">
        <f t="shared" si="34"/>
        <v>2.6720000000000002</v>
      </c>
      <c r="E95">
        <f t="shared" si="26"/>
        <v>157</v>
      </c>
      <c r="F95">
        <f t="shared" si="35"/>
        <v>2.5860000000000016</v>
      </c>
      <c r="H95">
        <f t="shared" si="27"/>
        <v>157</v>
      </c>
      <c r="I95">
        <f t="shared" si="36"/>
        <v>2.200200000000001</v>
      </c>
      <c r="K95">
        <f t="shared" si="28"/>
        <v>157</v>
      </c>
      <c r="L95">
        <v>2.4</v>
      </c>
      <c r="N95">
        <f t="shared" si="29"/>
        <v>157</v>
      </c>
      <c r="O95">
        <f t="shared" si="37"/>
        <v>2.4860000000000015</v>
      </c>
      <c r="Q95">
        <f t="shared" si="30"/>
        <v>157</v>
      </c>
      <c r="R95">
        <v>1.8</v>
      </c>
      <c r="T95">
        <f t="shared" si="31"/>
        <v>157</v>
      </c>
      <c r="U95">
        <f t="shared" si="38"/>
        <v>2.1860000000000017</v>
      </c>
      <c r="W95">
        <f t="shared" si="32"/>
        <v>157</v>
      </c>
      <c r="X95">
        <v>2.8</v>
      </c>
      <c r="Z95">
        <f t="shared" si="33"/>
        <v>157</v>
      </c>
      <c r="AA95">
        <f t="shared" si="39"/>
        <v>2.944</v>
      </c>
    </row>
    <row r="96" spans="2:27">
      <c r="B96">
        <f t="shared" si="25"/>
        <v>158</v>
      </c>
      <c r="C96">
        <f t="shared" si="34"/>
        <v>2.6680000000000001</v>
      </c>
      <c r="E96">
        <f t="shared" si="26"/>
        <v>158</v>
      </c>
      <c r="F96">
        <f t="shared" si="35"/>
        <v>2.5840000000000019</v>
      </c>
      <c r="H96">
        <f t="shared" si="27"/>
        <v>158</v>
      </c>
      <c r="I96">
        <f t="shared" si="36"/>
        <v>2.1988000000000012</v>
      </c>
      <c r="K96">
        <f t="shared" si="28"/>
        <v>158</v>
      </c>
      <c r="L96">
        <v>2.4</v>
      </c>
      <c r="N96">
        <f t="shared" si="29"/>
        <v>158</v>
      </c>
      <c r="O96">
        <f t="shared" si="37"/>
        <v>2.4840000000000018</v>
      </c>
      <c r="Q96">
        <f t="shared" si="30"/>
        <v>158</v>
      </c>
      <c r="R96">
        <v>1.8</v>
      </c>
      <c r="T96">
        <f t="shared" si="31"/>
        <v>158</v>
      </c>
      <c r="U96">
        <f t="shared" si="38"/>
        <v>2.1840000000000019</v>
      </c>
      <c r="W96">
        <f t="shared" si="32"/>
        <v>158</v>
      </c>
      <c r="X96">
        <v>2.8</v>
      </c>
      <c r="Z96">
        <f t="shared" si="33"/>
        <v>158</v>
      </c>
      <c r="AA96">
        <f t="shared" si="39"/>
        <v>2.9359999999999999</v>
      </c>
    </row>
    <row r="97" spans="2:27">
      <c r="B97">
        <f t="shared" si="25"/>
        <v>159</v>
      </c>
      <c r="C97">
        <f t="shared" si="34"/>
        <v>2.6640000000000001</v>
      </c>
      <c r="E97">
        <f t="shared" si="26"/>
        <v>159</v>
      </c>
      <c r="F97">
        <f t="shared" si="35"/>
        <v>2.5820000000000021</v>
      </c>
      <c r="H97">
        <f t="shared" si="27"/>
        <v>159</v>
      </c>
      <c r="I97">
        <f t="shared" si="36"/>
        <v>2.1974000000000014</v>
      </c>
      <c r="K97">
        <f t="shared" si="28"/>
        <v>159</v>
      </c>
      <c r="L97">
        <v>2.4</v>
      </c>
      <c r="N97">
        <f t="shared" si="29"/>
        <v>159</v>
      </c>
      <c r="O97">
        <f t="shared" si="37"/>
        <v>2.482000000000002</v>
      </c>
      <c r="Q97">
        <f t="shared" si="30"/>
        <v>159</v>
      </c>
      <c r="R97">
        <v>1.8</v>
      </c>
      <c r="T97">
        <f t="shared" si="31"/>
        <v>159</v>
      </c>
      <c r="U97">
        <f t="shared" si="38"/>
        <v>2.1820000000000022</v>
      </c>
      <c r="W97">
        <f t="shared" si="32"/>
        <v>159</v>
      </c>
      <c r="X97">
        <v>2.8</v>
      </c>
      <c r="Z97">
        <f t="shared" si="33"/>
        <v>159</v>
      </c>
      <c r="AA97">
        <f t="shared" si="39"/>
        <v>2.9279999999999999</v>
      </c>
    </row>
    <row r="98" spans="2:27">
      <c r="B98">
        <f t="shared" si="25"/>
        <v>160</v>
      </c>
      <c r="C98">
        <f t="shared" si="34"/>
        <v>2.66</v>
      </c>
      <c r="E98">
        <f t="shared" si="26"/>
        <v>160</v>
      </c>
      <c r="F98">
        <f t="shared" si="35"/>
        <v>2.5800000000000023</v>
      </c>
      <c r="H98">
        <f t="shared" si="27"/>
        <v>160</v>
      </c>
      <c r="I98">
        <f t="shared" si="36"/>
        <v>2.1960000000000015</v>
      </c>
      <c r="K98">
        <f t="shared" si="28"/>
        <v>160</v>
      </c>
      <c r="L98">
        <v>2.4</v>
      </c>
      <c r="N98">
        <f t="shared" si="29"/>
        <v>160</v>
      </c>
      <c r="O98">
        <f t="shared" si="37"/>
        <v>2.4800000000000022</v>
      </c>
      <c r="Q98">
        <f t="shared" si="30"/>
        <v>160</v>
      </c>
      <c r="R98">
        <v>1.8</v>
      </c>
      <c r="T98">
        <f t="shared" si="31"/>
        <v>160</v>
      </c>
      <c r="U98">
        <f t="shared" si="38"/>
        <v>2.1800000000000024</v>
      </c>
      <c r="W98">
        <f t="shared" si="32"/>
        <v>160</v>
      </c>
      <c r="X98">
        <v>2.8</v>
      </c>
      <c r="Z98">
        <f t="shared" si="33"/>
        <v>160</v>
      </c>
      <c r="AA98">
        <f t="shared" si="39"/>
        <v>2.92</v>
      </c>
    </row>
    <row r="99" spans="2:27">
      <c r="B99">
        <f t="shared" si="25"/>
        <v>161</v>
      </c>
      <c r="C99">
        <f t="shared" si="34"/>
        <v>2.6560000000000001</v>
      </c>
      <c r="E99">
        <f t="shared" si="26"/>
        <v>161</v>
      </c>
      <c r="F99">
        <f t="shared" si="35"/>
        <v>2.5780000000000025</v>
      </c>
      <c r="H99">
        <f t="shared" si="27"/>
        <v>161</v>
      </c>
      <c r="I99">
        <f t="shared" si="36"/>
        <v>2.1946000000000017</v>
      </c>
      <c r="K99">
        <f t="shared" si="28"/>
        <v>161</v>
      </c>
      <c r="L99">
        <v>2.4</v>
      </c>
      <c r="N99">
        <f t="shared" si="29"/>
        <v>161</v>
      </c>
      <c r="O99">
        <f t="shared" si="37"/>
        <v>2.4780000000000024</v>
      </c>
      <c r="Q99">
        <f t="shared" si="30"/>
        <v>161</v>
      </c>
      <c r="R99">
        <v>1.8</v>
      </c>
      <c r="T99">
        <f t="shared" si="31"/>
        <v>161</v>
      </c>
      <c r="U99">
        <f t="shared" si="38"/>
        <v>2.1780000000000026</v>
      </c>
      <c r="W99">
        <f t="shared" si="32"/>
        <v>161</v>
      </c>
      <c r="X99">
        <v>2.8</v>
      </c>
      <c r="Z99">
        <f t="shared" si="33"/>
        <v>161</v>
      </c>
      <c r="AA99">
        <f t="shared" si="39"/>
        <v>2.9119999999999999</v>
      </c>
    </row>
    <row r="100" spans="2:27">
      <c r="B100">
        <f t="shared" si="25"/>
        <v>162</v>
      </c>
      <c r="C100">
        <f t="shared" si="34"/>
        <v>2.6520000000000001</v>
      </c>
      <c r="E100">
        <f t="shared" si="26"/>
        <v>162</v>
      </c>
      <c r="F100">
        <f t="shared" si="35"/>
        <v>2.5760000000000027</v>
      </c>
      <c r="H100">
        <f t="shared" si="27"/>
        <v>162</v>
      </c>
      <c r="I100">
        <f t="shared" si="36"/>
        <v>2.1932000000000018</v>
      </c>
      <c r="K100">
        <f t="shared" si="28"/>
        <v>162</v>
      </c>
      <c r="L100">
        <v>2.4</v>
      </c>
      <c r="N100">
        <f t="shared" si="29"/>
        <v>162</v>
      </c>
      <c r="O100">
        <f t="shared" si="37"/>
        <v>2.4760000000000026</v>
      </c>
      <c r="Q100">
        <f t="shared" si="30"/>
        <v>162</v>
      </c>
      <c r="R100">
        <v>1.8</v>
      </c>
      <c r="T100">
        <f t="shared" si="31"/>
        <v>162</v>
      </c>
      <c r="U100">
        <f t="shared" si="38"/>
        <v>2.1760000000000028</v>
      </c>
      <c r="W100">
        <f t="shared" si="32"/>
        <v>162</v>
      </c>
      <c r="X100">
        <v>2.8</v>
      </c>
      <c r="Z100">
        <f t="shared" si="33"/>
        <v>162</v>
      </c>
      <c r="AA100">
        <f t="shared" si="39"/>
        <v>2.9039999999999999</v>
      </c>
    </row>
    <row r="101" spans="2:27">
      <c r="B101">
        <f t="shared" si="25"/>
        <v>163</v>
      </c>
      <c r="C101">
        <f t="shared" si="34"/>
        <v>2.6480000000000001</v>
      </c>
      <c r="E101">
        <f t="shared" si="26"/>
        <v>163</v>
      </c>
      <c r="F101">
        <f t="shared" si="35"/>
        <v>2.574000000000003</v>
      </c>
      <c r="H101">
        <f t="shared" si="27"/>
        <v>163</v>
      </c>
      <c r="I101">
        <f t="shared" si="36"/>
        <v>2.191800000000002</v>
      </c>
      <c r="K101">
        <f t="shared" si="28"/>
        <v>163</v>
      </c>
      <c r="L101">
        <v>2.4</v>
      </c>
      <c r="N101">
        <f t="shared" si="29"/>
        <v>163</v>
      </c>
      <c r="O101">
        <f t="shared" si="37"/>
        <v>2.4740000000000029</v>
      </c>
      <c r="Q101">
        <f t="shared" si="30"/>
        <v>163</v>
      </c>
      <c r="R101">
        <v>1.8</v>
      </c>
      <c r="T101">
        <f t="shared" si="31"/>
        <v>163</v>
      </c>
      <c r="U101">
        <f t="shared" si="38"/>
        <v>2.174000000000003</v>
      </c>
      <c r="W101">
        <f t="shared" si="32"/>
        <v>163</v>
      </c>
      <c r="X101">
        <v>2.8</v>
      </c>
      <c r="Z101">
        <f t="shared" si="33"/>
        <v>163</v>
      </c>
      <c r="AA101">
        <f t="shared" si="39"/>
        <v>2.8959999999999999</v>
      </c>
    </row>
    <row r="102" spans="2:27">
      <c r="B102">
        <f t="shared" si="25"/>
        <v>164</v>
      </c>
      <c r="C102">
        <f t="shared" si="34"/>
        <v>2.6440000000000001</v>
      </c>
      <c r="E102">
        <f t="shared" si="26"/>
        <v>164</v>
      </c>
      <c r="F102">
        <f t="shared" si="35"/>
        <v>2.5720000000000032</v>
      </c>
      <c r="H102">
        <f t="shared" si="27"/>
        <v>164</v>
      </c>
      <c r="I102">
        <f t="shared" si="36"/>
        <v>2.1904000000000021</v>
      </c>
      <c r="K102">
        <f t="shared" si="28"/>
        <v>164</v>
      </c>
      <c r="L102">
        <v>2.4</v>
      </c>
      <c r="N102">
        <f t="shared" si="29"/>
        <v>164</v>
      </c>
      <c r="O102">
        <f t="shared" si="37"/>
        <v>2.4720000000000031</v>
      </c>
      <c r="Q102">
        <f t="shared" si="30"/>
        <v>164</v>
      </c>
      <c r="R102">
        <v>1.8</v>
      </c>
      <c r="T102">
        <f t="shared" si="31"/>
        <v>164</v>
      </c>
      <c r="U102">
        <f t="shared" si="38"/>
        <v>2.1720000000000033</v>
      </c>
      <c r="W102">
        <f t="shared" si="32"/>
        <v>164</v>
      </c>
      <c r="X102">
        <v>2.8</v>
      </c>
      <c r="Z102">
        <f t="shared" si="33"/>
        <v>164</v>
      </c>
      <c r="AA102">
        <f t="shared" si="39"/>
        <v>2.8879999999999999</v>
      </c>
    </row>
    <row r="103" spans="2:27">
      <c r="B103">
        <f t="shared" si="25"/>
        <v>165</v>
      </c>
      <c r="C103">
        <f t="shared" si="34"/>
        <v>2.64</v>
      </c>
      <c r="E103">
        <f t="shared" si="26"/>
        <v>165</v>
      </c>
      <c r="F103">
        <f t="shared" si="35"/>
        <v>2.5700000000000034</v>
      </c>
      <c r="H103">
        <f t="shared" si="27"/>
        <v>165</v>
      </c>
      <c r="I103">
        <f t="shared" si="36"/>
        <v>2.1890000000000023</v>
      </c>
      <c r="K103">
        <f t="shared" si="28"/>
        <v>165</v>
      </c>
      <c r="L103">
        <v>2.4</v>
      </c>
      <c r="N103">
        <f t="shared" si="29"/>
        <v>165</v>
      </c>
      <c r="O103">
        <f t="shared" si="37"/>
        <v>2.4700000000000033</v>
      </c>
      <c r="Q103">
        <f t="shared" si="30"/>
        <v>165</v>
      </c>
      <c r="R103">
        <v>1.8</v>
      </c>
      <c r="T103">
        <f t="shared" si="31"/>
        <v>165</v>
      </c>
      <c r="U103">
        <f t="shared" si="38"/>
        <v>2.1700000000000035</v>
      </c>
      <c r="W103">
        <f t="shared" si="32"/>
        <v>165</v>
      </c>
      <c r="X103">
        <v>2.8</v>
      </c>
      <c r="Z103">
        <f t="shared" si="33"/>
        <v>165</v>
      </c>
      <c r="AA103">
        <f t="shared" si="39"/>
        <v>2.88</v>
      </c>
    </row>
    <row r="104" spans="2:27">
      <c r="B104">
        <f t="shared" si="25"/>
        <v>166</v>
      </c>
      <c r="C104">
        <f t="shared" si="34"/>
        <v>2.6360000000000001</v>
      </c>
      <c r="E104">
        <f t="shared" si="26"/>
        <v>166</v>
      </c>
      <c r="F104">
        <f t="shared" si="35"/>
        <v>2.5680000000000036</v>
      </c>
      <c r="H104">
        <f t="shared" si="27"/>
        <v>166</v>
      </c>
      <c r="I104">
        <f t="shared" si="36"/>
        <v>2.1876000000000024</v>
      </c>
      <c r="K104">
        <f t="shared" si="28"/>
        <v>166</v>
      </c>
      <c r="L104">
        <v>2.4</v>
      </c>
      <c r="N104">
        <f t="shared" si="29"/>
        <v>166</v>
      </c>
      <c r="O104">
        <f t="shared" si="37"/>
        <v>2.4680000000000035</v>
      </c>
      <c r="Q104">
        <f t="shared" si="30"/>
        <v>166</v>
      </c>
      <c r="R104">
        <v>1.8</v>
      </c>
      <c r="T104">
        <f t="shared" si="31"/>
        <v>166</v>
      </c>
      <c r="U104">
        <f t="shared" si="38"/>
        <v>2.1680000000000037</v>
      </c>
      <c r="W104">
        <f t="shared" si="32"/>
        <v>166</v>
      </c>
      <c r="X104">
        <v>2.8</v>
      </c>
      <c r="Z104">
        <f t="shared" si="33"/>
        <v>166</v>
      </c>
      <c r="AA104">
        <f t="shared" si="39"/>
        <v>2.8719999999999999</v>
      </c>
    </row>
    <row r="105" spans="2:27">
      <c r="B105">
        <f t="shared" si="25"/>
        <v>167</v>
      </c>
      <c r="C105">
        <f t="shared" si="34"/>
        <v>2.6320000000000001</v>
      </c>
      <c r="E105">
        <f t="shared" si="26"/>
        <v>167</v>
      </c>
      <c r="F105">
        <f t="shared" si="35"/>
        <v>2.5660000000000038</v>
      </c>
      <c r="H105">
        <f t="shared" si="27"/>
        <v>167</v>
      </c>
      <c r="I105">
        <f t="shared" si="36"/>
        <v>2.1862000000000026</v>
      </c>
      <c r="K105">
        <f t="shared" si="28"/>
        <v>167</v>
      </c>
      <c r="L105">
        <v>2.4</v>
      </c>
      <c r="N105">
        <f t="shared" si="29"/>
        <v>167</v>
      </c>
      <c r="O105">
        <f t="shared" si="37"/>
        <v>2.4660000000000037</v>
      </c>
      <c r="Q105">
        <f t="shared" si="30"/>
        <v>167</v>
      </c>
      <c r="R105">
        <v>1.8</v>
      </c>
      <c r="T105">
        <f t="shared" si="31"/>
        <v>167</v>
      </c>
      <c r="U105">
        <f t="shared" si="38"/>
        <v>2.1660000000000039</v>
      </c>
      <c r="W105">
        <f t="shared" si="32"/>
        <v>167</v>
      </c>
      <c r="X105">
        <v>2.8</v>
      </c>
      <c r="Z105">
        <f t="shared" si="33"/>
        <v>167</v>
      </c>
      <c r="AA105">
        <f t="shared" si="39"/>
        <v>2.8639999999999999</v>
      </c>
    </row>
    <row r="106" spans="2:27">
      <c r="B106">
        <f t="shared" si="25"/>
        <v>168</v>
      </c>
      <c r="C106">
        <f t="shared" si="34"/>
        <v>2.6280000000000001</v>
      </c>
      <c r="E106">
        <f t="shared" si="26"/>
        <v>168</v>
      </c>
      <c r="F106">
        <f t="shared" si="35"/>
        <v>2.5640000000000041</v>
      </c>
      <c r="H106">
        <f t="shared" si="27"/>
        <v>168</v>
      </c>
      <c r="I106">
        <f t="shared" si="36"/>
        <v>2.1848000000000027</v>
      </c>
      <c r="K106">
        <f t="shared" si="28"/>
        <v>168</v>
      </c>
      <c r="L106">
        <v>2.4</v>
      </c>
      <c r="N106">
        <f t="shared" si="29"/>
        <v>168</v>
      </c>
      <c r="O106">
        <f t="shared" si="37"/>
        <v>2.464000000000004</v>
      </c>
      <c r="Q106">
        <f t="shared" si="30"/>
        <v>168</v>
      </c>
      <c r="R106">
        <v>1.8</v>
      </c>
      <c r="T106">
        <f t="shared" si="31"/>
        <v>168</v>
      </c>
      <c r="U106">
        <f t="shared" si="38"/>
        <v>2.1640000000000041</v>
      </c>
      <c r="W106">
        <f t="shared" si="32"/>
        <v>168</v>
      </c>
      <c r="X106">
        <v>2.8</v>
      </c>
      <c r="Z106">
        <f t="shared" si="33"/>
        <v>168</v>
      </c>
      <c r="AA106">
        <f t="shared" si="39"/>
        <v>2.8559999999999999</v>
      </c>
    </row>
    <row r="107" spans="2:27">
      <c r="B107">
        <f t="shared" si="25"/>
        <v>169</v>
      </c>
      <c r="C107">
        <f t="shared" si="34"/>
        <v>2.6240000000000001</v>
      </c>
      <c r="E107">
        <f t="shared" si="26"/>
        <v>169</v>
      </c>
      <c r="F107">
        <f t="shared" si="35"/>
        <v>2.5620000000000043</v>
      </c>
      <c r="H107">
        <f t="shared" si="27"/>
        <v>169</v>
      </c>
      <c r="I107">
        <f t="shared" si="36"/>
        <v>2.1834000000000029</v>
      </c>
      <c r="K107">
        <f t="shared" si="28"/>
        <v>169</v>
      </c>
      <c r="L107">
        <v>2.4</v>
      </c>
      <c r="N107">
        <f t="shared" si="29"/>
        <v>169</v>
      </c>
      <c r="O107">
        <f t="shared" si="37"/>
        <v>2.4620000000000042</v>
      </c>
      <c r="Q107">
        <f t="shared" si="30"/>
        <v>169</v>
      </c>
      <c r="R107">
        <v>1.8</v>
      </c>
      <c r="T107">
        <f t="shared" si="31"/>
        <v>169</v>
      </c>
      <c r="U107">
        <f t="shared" si="38"/>
        <v>2.1620000000000044</v>
      </c>
      <c r="W107">
        <f t="shared" si="32"/>
        <v>169</v>
      </c>
      <c r="X107">
        <v>2.8</v>
      </c>
      <c r="Z107">
        <f t="shared" si="33"/>
        <v>169</v>
      </c>
      <c r="AA107">
        <f t="shared" si="39"/>
        <v>2.8479999999999999</v>
      </c>
    </row>
    <row r="108" spans="2:27">
      <c r="B108">
        <f t="shared" si="25"/>
        <v>170</v>
      </c>
      <c r="C108">
        <f t="shared" si="34"/>
        <v>2.62</v>
      </c>
      <c r="E108">
        <f t="shared" si="26"/>
        <v>170</v>
      </c>
      <c r="F108">
        <f t="shared" si="35"/>
        <v>2.5600000000000045</v>
      </c>
      <c r="H108">
        <f t="shared" si="27"/>
        <v>170</v>
      </c>
      <c r="I108">
        <f t="shared" si="36"/>
        <v>2.182000000000003</v>
      </c>
      <c r="K108">
        <f t="shared" si="28"/>
        <v>170</v>
      </c>
      <c r="L108">
        <v>2.4</v>
      </c>
      <c r="N108">
        <f t="shared" si="29"/>
        <v>170</v>
      </c>
      <c r="O108">
        <f t="shared" si="37"/>
        <v>2.4600000000000044</v>
      </c>
      <c r="Q108">
        <f t="shared" si="30"/>
        <v>170</v>
      </c>
      <c r="R108">
        <v>1.8</v>
      </c>
      <c r="T108">
        <f t="shared" si="31"/>
        <v>170</v>
      </c>
      <c r="U108">
        <f t="shared" si="38"/>
        <v>2.1600000000000046</v>
      </c>
      <c r="W108">
        <f t="shared" si="32"/>
        <v>170</v>
      </c>
      <c r="X108">
        <v>2.8</v>
      </c>
      <c r="Z108">
        <f t="shared" si="33"/>
        <v>170</v>
      </c>
      <c r="AA108">
        <f t="shared" si="39"/>
        <v>2.84</v>
      </c>
    </row>
    <row r="109" spans="2:27">
      <c r="B109">
        <f t="shared" si="25"/>
        <v>171</v>
      </c>
      <c r="C109">
        <f t="shared" si="34"/>
        <v>2.6160000000000001</v>
      </c>
      <c r="E109">
        <f t="shared" si="26"/>
        <v>171</v>
      </c>
      <c r="F109">
        <f t="shared" si="35"/>
        <v>2.5580000000000047</v>
      </c>
      <c r="H109">
        <f t="shared" si="27"/>
        <v>171</v>
      </c>
      <c r="I109">
        <f t="shared" si="36"/>
        <v>2.1806000000000032</v>
      </c>
      <c r="K109">
        <f t="shared" si="28"/>
        <v>171</v>
      </c>
      <c r="L109">
        <v>2.4</v>
      </c>
      <c r="N109">
        <f t="shared" si="29"/>
        <v>171</v>
      </c>
      <c r="O109">
        <f t="shared" si="37"/>
        <v>2.4580000000000046</v>
      </c>
      <c r="Q109">
        <f t="shared" si="30"/>
        <v>171</v>
      </c>
      <c r="R109">
        <v>1.8</v>
      </c>
      <c r="T109">
        <f t="shared" si="31"/>
        <v>171</v>
      </c>
      <c r="U109">
        <f t="shared" si="38"/>
        <v>2.1580000000000048</v>
      </c>
      <c r="W109">
        <f t="shared" si="32"/>
        <v>171</v>
      </c>
      <c r="X109">
        <v>2.8</v>
      </c>
      <c r="Z109">
        <f t="shared" si="33"/>
        <v>171</v>
      </c>
      <c r="AA109">
        <f t="shared" si="39"/>
        <v>2.8319999999999999</v>
      </c>
    </row>
    <row r="110" spans="2:27">
      <c r="B110">
        <f t="shared" si="25"/>
        <v>172</v>
      </c>
      <c r="C110">
        <f t="shared" si="34"/>
        <v>2.6120000000000001</v>
      </c>
      <c r="E110">
        <f t="shared" si="26"/>
        <v>172</v>
      </c>
      <c r="F110">
        <f t="shared" si="35"/>
        <v>2.5560000000000049</v>
      </c>
      <c r="H110">
        <f t="shared" si="27"/>
        <v>172</v>
      </c>
      <c r="I110">
        <f t="shared" si="36"/>
        <v>2.1792000000000034</v>
      </c>
      <c r="K110">
        <f t="shared" si="28"/>
        <v>172</v>
      </c>
      <c r="L110">
        <v>2.4</v>
      </c>
      <c r="N110">
        <f t="shared" si="29"/>
        <v>172</v>
      </c>
      <c r="O110">
        <f t="shared" si="37"/>
        <v>2.4560000000000048</v>
      </c>
      <c r="Q110">
        <f t="shared" si="30"/>
        <v>172</v>
      </c>
      <c r="R110">
        <v>1.8</v>
      </c>
      <c r="T110">
        <f t="shared" si="31"/>
        <v>172</v>
      </c>
      <c r="U110">
        <f t="shared" si="38"/>
        <v>2.156000000000005</v>
      </c>
      <c r="W110">
        <f t="shared" si="32"/>
        <v>172</v>
      </c>
      <c r="X110">
        <v>2.8</v>
      </c>
      <c r="Z110">
        <f t="shared" si="33"/>
        <v>172</v>
      </c>
      <c r="AA110">
        <f t="shared" si="39"/>
        <v>2.8239999999999998</v>
      </c>
    </row>
    <row r="111" spans="2:27">
      <c r="B111">
        <f t="shared" si="25"/>
        <v>173</v>
      </c>
      <c r="C111">
        <f t="shared" si="34"/>
        <v>2.6080000000000001</v>
      </c>
      <c r="E111">
        <f t="shared" si="26"/>
        <v>173</v>
      </c>
      <c r="F111">
        <f t="shared" si="35"/>
        <v>2.5540000000000052</v>
      </c>
      <c r="H111">
        <f t="shared" si="27"/>
        <v>173</v>
      </c>
      <c r="I111">
        <f t="shared" si="36"/>
        <v>2.1778000000000035</v>
      </c>
      <c r="K111">
        <f t="shared" si="28"/>
        <v>173</v>
      </c>
      <c r="L111">
        <v>2.4</v>
      </c>
      <c r="N111">
        <f t="shared" si="29"/>
        <v>173</v>
      </c>
      <c r="O111">
        <f t="shared" si="37"/>
        <v>2.4540000000000051</v>
      </c>
      <c r="Q111">
        <f t="shared" si="30"/>
        <v>173</v>
      </c>
      <c r="R111">
        <v>1.8</v>
      </c>
      <c r="T111">
        <f t="shared" si="31"/>
        <v>173</v>
      </c>
      <c r="U111">
        <f t="shared" si="38"/>
        <v>2.1540000000000052</v>
      </c>
      <c r="W111">
        <f t="shared" si="32"/>
        <v>173</v>
      </c>
      <c r="X111">
        <v>2.8</v>
      </c>
      <c r="Z111">
        <f t="shared" si="33"/>
        <v>173</v>
      </c>
      <c r="AA111">
        <f t="shared" si="39"/>
        <v>2.8159999999999998</v>
      </c>
    </row>
    <row r="112" spans="2:27">
      <c r="B112">
        <f t="shared" si="25"/>
        <v>174</v>
      </c>
      <c r="C112">
        <f t="shared" si="34"/>
        <v>2.6040000000000001</v>
      </c>
      <c r="E112">
        <f t="shared" si="26"/>
        <v>174</v>
      </c>
      <c r="F112">
        <f t="shared" si="35"/>
        <v>2.5520000000000054</v>
      </c>
      <c r="H112">
        <f t="shared" si="27"/>
        <v>174</v>
      </c>
      <c r="I112">
        <f t="shared" si="36"/>
        <v>2.1764000000000037</v>
      </c>
      <c r="K112">
        <f t="shared" si="28"/>
        <v>174</v>
      </c>
      <c r="L112">
        <v>2.4</v>
      </c>
      <c r="N112">
        <f t="shared" si="29"/>
        <v>174</v>
      </c>
      <c r="O112">
        <f t="shared" si="37"/>
        <v>2.4520000000000053</v>
      </c>
      <c r="Q112">
        <f t="shared" si="30"/>
        <v>174</v>
      </c>
      <c r="R112">
        <v>1.8</v>
      </c>
      <c r="T112">
        <f t="shared" si="31"/>
        <v>174</v>
      </c>
      <c r="U112">
        <f t="shared" si="38"/>
        <v>2.1520000000000055</v>
      </c>
      <c r="W112">
        <f t="shared" si="32"/>
        <v>174</v>
      </c>
      <c r="X112">
        <v>2.8</v>
      </c>
      <c r="Z112">
        <f t="shared" si="33"/>
        <v>174</v>
      </c>
      <c r="AA112">
        <f t="shared" si="39"/>
        <v>2.8079999999999998</v>
      </c>
    </row>
    <row r="113" spans="2:27">
      <c r="B113">
        <f t="shared" si="25"/>
        <v>175</v>
      </c>
      <c r="C113">
        <f t="shared" si="34"/>
        <v>2.6</v>
      </c>
      <c r="E113">
        <f t="shared" si="26"/>
        <v>175</v>
      </c>
      <c r="F113">
        <f t="shared" si="35"/>
        <v>2.5500000000000056</v>
      </c>
      <c r="H113">
        <f t="shared" si="27"/>
        <v>175</v>
      </c>
      <c r="I113">
        <f t="shared" si="36"/>
        <v>2.1750000000000038</v>
      </c>
      <c r="K113">
        <f t="shared" si="28"/>
        <v>175</v>
      </c>
      <c r="L113">
        <v>2.4</v>
      </c>
      <c r="N113">
        <f t="shared" si="29"/>
        <v>175</v>
      </c>
      <c r="O113">
        <f t="shared" si="37"/>
        <v>2.4500000000000055</v>
      </c>
      <c r="Q113">
        <f t="shared" si="30"/>
        <v>175</v>
      </c>
      <c r="R113">
        <v>1.8</v>
      </c>
      <c r="T113">
        <f t="shared" si="31"/>
        <v>175</v>
      </c>
      <c r="U113">
        <f t="shared" si="38"/>
        <v>2.1500000000000057</v>
      </c>
      <c r="W113">
        <f t="shared" si="32"/>
        <v>175</v>
      </c>
      <c r="X113">
        <v>2.8</v>
      </c>
      <c r="Z113">
        <f t="shared" si="33"/>
        <v>175</v>
      </c>
      <c r="AA113">
        <f t="shared" si="39"/>
        <v>2.8</v>
      </c>
    </row>
    <row r="114" spans="2:27">
      <c r="B114">
        <f t="shared" si="25"/>
        <v>176</v>
      </c>
      <c r="C114">
        <f t="shared" si="34"/>
        <v>2.5960000000000001</v>
      </c>
      <c r="E114">
        <f t="shared" si="26"/>
        <v>176</v>
      </c>
      <c r="F114">
        <f t="shared" si="35"/>
        <v>2.5480000000000058</v>
      </c>
      <c r="H114">
        <f t="shared" si="27"/>
        <v>176</v>
      </c>
      <c r="I114">
        <f t="shared" si="36"/>
        <v>2.173600000000004</v>
      </c>
      <c r="K114">
        <f t="shared" si="28"/>
        <v>176</v>
      </c>
      <c r="L114">
        <v>2.4</v>
      </c>
      <c r="N114">
        <f t="shared" si="29"/>
        <v>176</v>
      </c>
      <c r="O114">
        <f t="shared" si="37"/>
        <v>2.4480000000000057</v>
      </c>
      <c r="Q114">
        <f t="shared" si="30"/>
        <v>176</v>
      </c>
      <c r="R114">
        <v>1.8</v>
      </c>
      <c r="T114">
        <f t="shared" si="31"/>
        <v>176</v>
      </c>
      <c r="U114">
        <f t="shared" si="38"/>
        <v>2.1480000000000059</v>
      </c>
      <c r="W114">
        <f t="shared" si="32"/>
        <v>176</v>
      </c>
      <c r="X114">
        <v>2.8</v>
      </c>
      <c r="Z114">
        <f t="shared" si="33"/>
        <v>176</v>
      </c>
      <c r="AA114">
        <f t="shared" si="39"/>
        <v>2.7919999999999998</v>
      </c>
    </row>
    <row r="115" spans="2:27">
      <c r="B115">
        <f t="shared" si="25"/>
        <v>177</v>
      </c>
      <c r="C115">
        <f t="shared" si="34"/>
        <v>2.5920000000000001</v>
      </c>
      <c r="E115">
        <f t="shared" si="26"/>
        <v>177</v>
      </c>
      <c r="F115">
        <f t="shared" si="35"/>
        <v>2.546000000000006</v>
      </c>
      <c r="H115">
        <f t="shared" si="27"/>
        <v>177</v>
      </c>
      <c r="I115">
        <f t="shared" si="36"/>
        <v>2.1722000000000041</v>
      </c>
      <c r="K115">
        <f t="shared" si="28"/>
        <v>177</v>
      </c>
      <c r="L115">
        <v>2.4</v>
      </c>
      <c r="N115">
        <f t="shared" si="29"/>
        <v>177</v>
      </c>
      <c r="O115">
        <f t="shared" si="37"/>
        <v>2.4460000000000059</v>
      </c>
      <c r="Q115">
        <f t="shared" si="30"/>
        <v>177</v>
      </c>
      <c r="R115">
        <v>1.8</v>
      </c>
      <c r="T115">
        <f t="shared" si="31"/>
        <v>177</v>
      </c>
      <c r="U115">
        <f t="shared" si="38"/>
        <v>2.1460000000000061</v>
      </c>
      <c r="W115">
        <f t="shared" si="32"/>
        <v>177</v>
      </c>
      <c r="X115">
        <v>2.8</v>
      </c>
      <c r="Z115">
        <f t="shared" si="33"/>
        <v>177</v>
      </c>
      <c r="AA115">
        <f t="shared" si="39"/>
        <v>2.7839999999999998</v>
      </c>
    </row>
    <row r="116" spans="2:27">
      <c r="B116">
        <f t="shared" si="25"/>
        <v>178</v>
      </c>
      <c r="C116">
        <f t="shared" si="34"/>
        <v>2.5880000000000001</v>
      </c>
      <c r="E116">
        <f t="shared" si="26"/>
        <v>178</v>
      </c>
      <c r="F116">
        <f t="shared" si="35"/>
        <v>2.5440000000000063</v>
      </c>
      <c r="H116">
        <f t="shared" si="27"/>
        <v>178</v>
      </c>
      <c r="I116">
        <f t="shared" si="36"/>
        <v>2.1708000000000043</v>
      </c>
      <c r="K116">
        <f t="shared" si="28"/>
        <v>178</v>
      </c>
      <c r="L116">
        <v>2.4</v>
      </c>
      <c r="N116">
        <f t="shared" si="29"/>
        <v>178</v>
      </c>
      <c r="O116">
        <f t="shared" si="37"/>
        <v>2.4440000000000062</v>
      </c>
      <c r="Q116">
        <f t="shared" si="30"/>
        <v>178</v>
      </c>
      <c r="R116">
        <v>1.8</v>
      </c>
      <c r="T116">
        <f t="shared" si="31"/>
        <v>178</v>
      </c>
      <c r="U116">
        <f t="shared" si="38"/>
        <v>2.1440000000000063</v>
      </c>
      <c r="W116">
        <f t="shared" si="32"/>
        <v>178</v>
      </c>
      <c r="X116">
        <v>2.8</v>
      </c>
      <c r="Z116">
        <f t="shared" si="33"/>
        <v>178</v>
      </c>
      <c r="AA116">
        <f t="shared" si="39"/>
        <v>2.7759999999999998</v>
      </c>
    </row>
    <row r="117" spans="2:27">
      <c r="B117">
        <f t="shared" si="25"/>
        <v>179</v>
      </c>
      <c r="C117">
        <f t="shared" si="34"/>
        <v>2.5840000000000001</v>
      </c>
      <c r="E117">
        <f t="shared" si="26"/>
        <v>179</v>
      </c>
      <c r="F117">
        <f t="shared" si="35"/>
        <v>2.5420000000000065</v>
      </c>
      <c r="H117">
        <f t="shared" si="27"/>
        <v>179</v>
      </c>
      <c r="I117">
        <f t="shared" si="36"/>
        <v>2.1694000000000044</v>
      </c>
      <c r="K117">
        <f t="shared" si="28"/>
        <v>179</v>
      </c>
      <c r="L117">
        <v>2.4</v>
      </c>
      <c r="N117">
        <f t="shared" si="29"/>
        <v>179</v>
      </c>
      <c r="O117">
        <f t="shared" si="37"/>
        <v>2.4420000000000064</v>
      </c>
      <c r="Q117">
        <f t="shared" si="30"/>
        <v>179</v>
      </c>
      <c r="R117">
        <v>1.8</v>
      </c>
      <c r="T117">
        <f t="shared" si="31"/>
        <v>179</v>
      </c>
      <c r="U117">
        <f t="shared" si="38"/>
        <v>2.1420000000000066</v>
      </c>
      <c r="W117">
        <f t="shared" si="32"/>
        <v>179</v>
      </c>
      <c r="X117">
        <v>2.8</v>
      </c>
      <c r="Z117">
        <f t="shared" si="33"/>
        <v>179</v>
      </c>
      <c r="AA117">
        <f t="shared" si="39"/>
        <v>2.7679999999999998</v>
      </c>
    </row>
    <row r="118" spans="2:27">
      <c r="B118">
        <f t="shared" si="25"/>
        <v>180</v>
      </c>
      <c r="C118">
        <f t="shared" si="34"/>
        <v>2.58</v>
      </c>
      <c r="E118">
        <f t="shared" si="26"/>
        <v>180</v>
      </c>
      <c r="F118">
        <f t="shared" si="35"/>
        <v>2.5400000000000067</v>
      </c>
      <c r="H118">
        <f t="shared" si="27"/>
        <v>180</v>
      </c>
      <c r="I118">
        <f t="shared" si="36"/>
        <v>2.1680000000000046</v>
      </c>
      <c r="K118">
        <f t="shared" si="28"/>
        <v>180</v>
      </c>
      <c r="L118">
        <v>2.4</v>
      </c>
      <c r="N118">
        <f t="shared" si="29"/>
        <v>180</v>
      </c>
      <c r="O118">
        <f t="shared" si="37"/>
        <v>2.4400000000000066</v>
      </c>
      <c r="Q118">
        <f t="shared" si="30"/>
        <v>180</v>
      </c>
      <c r="R118">
        <v>1.8</v>
      </c>
      <c r="T118">
        <f t="shared" si="31"/>
        <v>180</v>
      </c>
      <c r="U118">
        <f t="shared" si="38"/>
        <v>2.1400000000000068</v>
      </c>
      <c r="W118">
        <f t="shared" si="32"/>
        <v>180</v>
      </c>
      <c r="X118">
        <v>2.8</v>
      </c>
      <c r="Z118">
        <f t="shared" si="33"/>
        <v>180</v>
      </c>
      <c r="AA118">
        <f t="shared" si="39"/>
        <v>2.76</v>
      </c>
    </row>
    <row r="119" spans="2:27">
      <c r="B119">
        <f t="shared" si="25"/>
        <v>181</v>
      </c>
      <c r="C119">
        <f t="shared" si="34"/>
        <v>2.5760000000000001</v>
      </c>
      <c r="E119">
        <f t="shared" si="26"/>
        <v>181</v>
      </c>
      <c r="F119">
        <f t="shared" si="35"/>
        <v>2.5380000000000069</v>
      </c>
      <c r="H119">
        <f t="shared" si="27"/>
        <v>181</v>
      </c>
      <c r="I119">
        <f t="shared" si="36"/>
        <v>2.1666000000000047</v>
      </c>
      <c r="K119">
        <f t="shared" si="28"/>
        <v>181</v>
      </c>
      <c r="L119">
        <v>2.4</v>
      </c>
      <c r="N119">
        <f t="shared" si="29"/>
        <v>181</v>
      </c>
      <c r="O119">
        <f t="shared" si="37"/>
        <v>2.4380000000000068</v>
      </c>
      <c r="Q119">
        <f t="shared" si="30"/>
        <v>181</v>
      </c>
      <c r="R119">
        <v>1.8</v>
      </c>
      <c r="T119">
        <f t="shared" si="31"/>
        <v>181</v>
      </c>
      <c r="U119">
        <f t="shared" si="38"/>
        <v>2.138000000000007</v>
      </c>
      <c r="W119">
        <f t="shared" si="32"/>
        <v>181</v>
      </c>
      <c r="X119">
        <v>2.8</v>
      </c>
      <c r="Z119">
        <f t="shared" si="33"/>
        <v>181</v>
      </c>
      <c r="AA119">
        <f t="shared" si="39"/>
        <v>2.7519999999999998</v>
      </c>
    </row>
    <row r="120" spans="2:27">
      <c r="B120">
        <f t="shared" si="25"/>
        <v>182</v>
      </c>
      <c r="C120">
        <f t="shared" si="34"/>
        <v>2.5720000000000001</v>
      </c>
      <c r="E120">
        <f t="shared" si="26"/>
        <v>182</v>
      </c>
      <c r="F120">
        <f t="shared" si="35"/>
        <v>2.5360000000000071</v>
      </c>
      <c r="H120">
        <f t="shared" si="27"/>
        <v>182</v>
      </c>
      <c r="I120">
        <f t="shared" si="36"/>
        <v>2.1652000000000049</v>
      </c>
      <c r="K120">
        <f t="shared" si="28"/>
        <v>182</v>
      </c>
      <c r="L120">
        <v>2.4</v>
      </c>
      <c r="N120">
        <f t="shared" si="29"/>
        <v>182</v>
      </c>
      <c r="O120">
        <f t="shared" si="37"/>
        <v>2.436000000000007</v>
      </c>
      <c r="Q120">
        <f t="shared" si="30"/>
        <v>182</v>
      </c>
      <c r="R120">
        <v>1.8</v>
      </c>
      <c r="T120">
        <f t="shared" si="31"/>
        <v>182</v>
      </c>
      <c r="U120">
        <f t="shared" si="38"/>
        <v>2.1360000000000072</v>
      </c>
      <c r="W120">
        <f t="shared" si="32"/>
        <v>182</v>
      </c>
      <c r="X120">
        <v>2.8</v>
      </c>
      <c r="Z120">
        <f t="shared" si="33"/>
        <v>182</v>
      </c>
      <c r="AA120">
        <f t="shared" si="39"/>
        <v>2.7439999999999998</v>
      </c>
    </row>
    <row r="121" spans="2:27">
      <c r="B121">
        <f t="shared" si="25"/>
        <v>183</v>
      </c>
      <c r="C121">
        <f t="shared" si="34"/>
        <v>2.5680000000000001</v>
      </c>
      <c r="E121">
        <f t="shared" si="26"/>
        <v>183</v>
      </c>
      <c r="F121">
        <f t="shared" si="35"/>
        <v>2.5340000000000074</v>
      </c>
      <c r="H121">
        <f t="shared" si="27"/>
        <v>183</v>
      </c>
      <c r="I121">
        <f t="shared" si="36"/>
        <v>2.1638000000000051</v>
      </c>
      <c r="K121">
        <f t="shared" si="28"/>
        <v>183</v>
      </c>
      <c r="L121">
        <v>2.4</v>
      </c>
      <c r="N121">
        <f t="shared" si="29"/>
        <v>183</v>
      </c>
      <c r="O121">
        <f t="shared" si="37"/>
        <v>2.4340000000000073</v>
      </c>
      <c r="Q121">
        <f t="shared" si="30"/>
        <v>183</v>
      </c>
      <c r="R121">
        <v>1.8</v>
      </c>
      <c r="T121">
        <f t="shared" si="31"/>
        <v>183</v>
      </c>
      <c r="U121">
        <f t="shared" si="38"/>
        <v>2.1340000000000074</v>
      </c>
      <c r="W121">
        <f t="shared" si="32"/>
        <v>183</v>
      </c>
      <c r="X121">
        <v>2.8</v>
      </c>
      <c r="Z121">
        <f t="shared" si="33"/>
        <v>183</v>
      </c>
      <c r="AA121">
        <f t="shared" si="39"/>
        <v>2.7359999999999998</v>
      </c>
    </row>
    <row r="122" spans="2:27">
      <c r="B122">
        <f t="shared" si="25"/>
        <v>184</v>
      </c>
      <c r="C122">
        <f t="shared" si="34"/>
        <v>2.5640000000000001</v>
      </c>
      <c r="E122">
        <f t="shared" si="26"/>
        <v>184</v>
      </c>
      <c r="F122">
        <f t="shared" si="35"/>
        <v>2.5320000000000076</v>
      </c>
      <c r="H122">
        <f t="shared" si="27"/>
        <v>184</v>
      </c>
      <c r="I122">
        <f t="shared" si="36"/>
        <v>2.1624000000000052</v>
      </c>
      <c r="K122">
        <f t="shared" si="28"/>
        <v>184</v>
      </c>
      <c r="L122">
        <v>2.4</v>
      </c>
      <c r="N122">
        <f t="shared" si="29"/>
        <v>184</v>
      </c>
      <c r="O122">
        <f t="shared" si="37"/>
        <v>2.4320000000000075</v>
      </c>
      <c r="Q122">
        <f t="shared" si="30"/>
        <v>184</v>
      </c>
      <c r="R122">
        <v>1.8</v>
      </c>
      <c r="T122">
        <f t="shared" si="31"/>
        <v>184</v>
      </c>
      <c r="U122">
        <f t="shared" si="38"/>
        <v>2.1320000000000077</v>
      </c>
      <c r="W122">
        <f t="shared" si="32"/>
        <v>184</v>
      </c>
      <c r="X122">
        <v>2.8</v>
      </c>
      <c r="Z122">
        <f t="shared" si="33"/>
        <v>184</v>
      </c>
      <c r="AA122">
        <f t="shared" si="39"/>
        <v>2.7279999999999998</v>
      </c>
    </row>
    <row r="123" spans="2:27">
      <c r="B123">
        <f t="shared" si="25"/>
        <v>185</v>
      </c>
      <c r="C123">
        <f t="shared" si="34"/>
        <v>2.56</v>
      </c>
      <c r="E123">
        <f t="shared" si="26"/>
        <v>185</v>
      </c>
      <c r="F123">
        <f t="shared" si="35"/>
        <v>2.5300000000000078</v>
      </c>
      <c r="H123">
        <f t="shared" si="27"/>
        <v>185</v>
      </c>
      <c r="I123">
        <f t="shared" si="36"/>
        <v>2.1610000000000054</v>
      </c>
      <c r="K123">
        <f t="shared" si="28"/>
        <v>185</v>
      </c>
      <c r="L123">
        <v>2.4</v>
      </c>
      <c r="N123">
        <f t="shared" si="29"/>
        <v>185</v>
      </c>
      <c r="O123">
        <f t="shared" si="37"/>
        <v>2.4300000000000077</v>
      </c>
      <c r="Q123">
        <f t="shared" si="30"/>
        <v>185</v>
      </c>
      <c r="R123">
        <v>1.8</v>
      </c>
      <c r="T123">
        <f t="shared" si="31"/>
        <v>185</v>
      </c>
      <c r="U123">
        <f t="shared" si="38"/>
        <v>2.1300000000000079</v>
      </c>
      <c r="W123">
        <f t="shared" si="32"/>
        <v>185</v>
      </c>
      <c r="X123">
        <v>2.8</v>
      </c>
      <c r="Z123">
        <f t="shared" si="33"/>
        <v>185</v>
      </c>
      <c r="AA123">
        <f t="shared" si="39"/>
        <v>2.7199999999999998</v>
      </c>
    </row>
    <row r="124" spans="2:27">
      <c r="B124">
        <f t="shared" si="25"/>
        <v>186</v>
      </c>
      <c r="C124">
        <f t="shared" si="34"/>
        <v>2.556</v>
      </c>
      <c r="E124">
        <f t="shared" si="26"/>
        <v>186</v>
      </c>
      <c r="F124">
        <f t="shared" si="35"/>
        <v>2.528000000000008</v>
      </c>
      <c r="H124">
        <f t="shared" si="27"/>
        <v>186</v>
      </c>
      <c r="I124">
        <f t="shared" si="36"/>
        <v>2.1596000000000055</v>
      </c>
      <c r="K124">
        <f t="shared" si="28"/>
        <v>186</v>
      </c>
      <c r="L124">
        <v>2.4</v>
      </c>
      <c r="N124">
        <f t="shared" si="29"/>
        <v>186</v>
      </c>
      <c r="O124">
        <f t="shared" si="37"/>
        <v>2.4280000000000079</v>
      </c>
      <c r="Q124">
        <f t="shared" si="30"/>
        <v>186</v>
      </c>
      <c r="R124">
        <v>1.8</v>
      </c>
      <c r="T124">
        <f t="shared" si="31"/>
        <v>186</v>
      </c>
      <c r="U124">
        <f t="shared" si="38"/>
        <v>2.1280000000000081</v>
      </c>
      <c r="W124">
        <f t="shared" si="32"/>
        <v>186</v>
      </c>
      <c r="X124">
        <v>2.8</v>
      </c>
      <c r="Z124">
        <f t="shared" si="33"/>
        <v>186</v>
      </c>
      <c r="AA124">
        <f t="shared" si="39"/>
        <v>2.7119999999999997</v>
      </c>
    </row>
    <row r="125" spans="2:27">
      <c r="B125">
        <f t="shared" si="25"/>
        <v>187</v>
      </c>
      <c r="C125">
        <f t="shared" si="34"/>
        <v>2.552</v>
      </c>
      <c r="E125">
        <f t="shared" si="26"/>
        <v>187</v>
      </c>
      <c r="F125">
        <f t="shared" si="35"/>
        <v>2.5260000000000082</v>
      </c>
      <c r="H125">
        <f t="shared" si="27"/>
        <v>187</v>
      </c>
      <c r="I125">
        <f t="shared" si="36"/>
        <v>2.1582000000000057</v>
      </c>
      <c r="K125">
        <f t="shared" si="28"/>
        <v>187</v>
      </c>
      <c r="L125">
        <v>2.4</v>
      </c>
      <c r="N125">
        <f t="shared" si="29"/>
        <v>187</v>
      </c>
      <c r="O125">
        <f t="shared" si="37"/>
        <v>2.4260000000000081</v>
      </c>
      <c r="Q125">
        <f t="shared" si="30"/>
        <v>187</v>
      </c>
      <c r="R125">
        <v>1.8</v>
      </c>
      <c r="T125">
        <f t="shared" si="31"/>
        <v>187</v>
      </c>
      <c r="U125">
        <f t="shared" si="38"/>
        <v>2.1260000000000083</v>
      </c>
      <c r="W125">
        <f t="shared" si="32"/>
        <v>187</v>
      </c>
      <c r="X125">
        <v>2.8</v>
      </c>
      <c r="Z125">
        <f t="shared" si="33"/>
        <v>187</v>
      </c>
      <c r="AA125">
        <f t="shared" si="39"/>
        <v>2.7039999999999997</v>
      </c>
    </row>
    <row r="126" spans="2:27">
      <c r="B126">
        <f t="shared" si="25"/>
        <v>188</v>
      </c>
      <c r="C126">
        <f t="shared" si="34"/>
        <v>2.548</v>
      </c>
      <c r="E126">
        <f t="shared" si="26"/>
        <v>188</v>
      </c>
      <c r="F126">
        <f t="shared" si="35"/>
        <v>2.5240000000000085</v>
      </c>
      <c r="H126">
        <f t="shared" si="27"/>
        <v>188</v>
      </c>
      <c r="I126">
        <f t="shared" si="36"/>
        <v>2.1568000000000058</v>
      </c>
      <c r="K126">
        <f t="shared" si="28"/>
        <v>188</v>
      </c>
      <c r="L126">
        <v>2.4</v>
      </c>
      <c r="N126">
        <f t="shared" si="29"/>
        <v>188</v>
      </c>
      <c r="O126">
        <f t="shared" si="37"/>
        <v>2.4240000000000084</v>
      </c>
      <c r="Q126">
        <f t="shared" si="30"/>
        <v>188</v>
      </c>
      <c r="R126">
        <v>1.8</v>
      </c>
      <c r="T126">
        <f t="shared" si="31"/>
        <v>188</v>
      </c>
      <c r="U126">
        <f t="shared" si="38"/>
        <v>2.1240000000000085</v>
      </c>
      <c r="W126">
        <f t="shared" si="32"/>
        <v>188</v>
      </c>
      <c r="X126">
        <v>2.8</v>
      </c>
      <c r="Z126">
        <f t="shared" si="33"/>
        <v>188</v>
      </c>
      <c r="AA126">
        <f t="shared" si="39"/>
        <v>2.6959999999999997</v>
      </c>
    </row>
    <row r="127" spans="2:27">
      <c r="B127">
        <f t="shared" si="25"/>
        <v>189</v>
      </c>
      <c r="C127">
        <f t="shared" si="34"/>
        <v>2.544</v>
      </c>
      <c r="E127">
        <f t="shared" si="26"/>
        <v>189</v>
      </c>
      <c r="F127">
        <f t="shared" si="35"/>
        <v>2.5220000000000087</v>
      </c>
      <c r="H127">
        <f t="shared" si="27"/>
        <v>189</v>
      </c>
      <c r="I127">
        <f t="shared" si="36"/>
        <v>2.155400000000006</v>
      </c>
      <c r="K127">
        <f t="shared" si="28"/>
        <v>189</v>
      </c>
      <c r="L127">
        <v>2.4</v>
      </c>
      <c r="N127">
        <f t="shared" si="29"/>
        <v>189</v>
      </c>
      <c r="O127">
        <f t="shared" si="37"/>
        <v>2.4220000000000086</v>
      </c>
      <c r="Q127">
        <f t="shared" si="30"/>
        <v>189</v>
      </c>
      <c r="R127">
        <v>1.8</v>
      </c>
      <c r="T127">
        <f t="shared" si="31"/>
        <v>189</v>
      </c>
      <c r="U127">
        <f t="shared" si="38"/>
        <v>2.1220000000000088</v>
      </c>
      <c r="W127">
        <f t="shared" si="32"/>
        <v>189</v>
      </c>
      <c r="X127">
        <v>2.8</v>
      </c>
      <c r="Z127">
        <f t="shared" si="33"/>
        <v>189</v>
      </c>
      <c r="AA127">
        <f t="shared" si="39"/>
        <v>2.6879999999999997</v>
      </c>
    </row>
    <row r="128" spans="2:27">
      <c r="B128">
        <f t="shared" si="25"/>
        <v>190</v>
      </c>
      <c r="C128">
        <f t="shared" si="34"/>
        <v>2.54</v>
      </c>
      <c r="E128">
        <f t="shared" si="26"/>
        <v>190</v>
      </c>
      <c r="F128">
        <f t="shared" si="35"/>
        <v>2.5200000000000089</v>
      </c>
      <c r="H128">
        <f t="shared" si="27"/>
        <v>190</v>
      </c>
      <c r="I128">
        <f t="shared" si="36"/>
        <v>2.1540000000000061</v>
      </c>
      <c r="K128">
        <f t="shared" si="28"/>
        <v>190</v>
      </c>
      <c r="L128">
        <v>2.4</v>
      </c>
      <c r="N128">
        <f t="shared" si="29"/>
        <v>190</v>
      </c>
      <c r="O128">
        <f t="shared" si="37"/>
        <v>2.4200000000000088</v>
      </c>
      <c r="Q128">
        <f t="shared" si="30"/>
        <v>190</v>
      </c>
      <c r="R128">
        <v>1.8</v>
      </c>
      <c r="T128">
        <f t="shared" si="31"/>
        <v>190</v>
      </c>
      <c r="U128">
        <f t="shared" si="38"/>
        <v>2.120000000000009</v>
      </c>
      <c r="W128">
        <f t="shared" si="32"/>
        <v>190</v>
      </c>
      <c r="X128">
        <v>2.8</v>
      </c>
      <c r="Z128">
        <f t="shared" si="33"/>
        <v>190</v>
      </c>
      <c r="AA128">
        <f t="shared" si="39"/>
        <v>2.6799999999999997</v>
      </c>
    </row>
    <row r="129" spans="2:27">
      <c r="B129">
        <f t="shared" si="25"/>
        <v>191</v>
      </c>
      <c r="C129">
        <f t="shared" si="34"/>
        <v>2.536</v>
      </c>
      <c r="E129">
        <f t="shared" si="26"/>
        <v>191</v>
      </c>
      <c r="F129">
        <f t="shared" si="35"/>
        <v>2.5180000000000091</v>
      </c>
      <c r="H129">
        <f t="shared" si="27"/>
        <v>191</v>
      </c>
      <c r="I129">
        <f t="shared" si="36"/>
        <v>2.1526000000000063</v>
      </c>
      <c r="K129">
        <f t="shared" si="28"/>
        <v>191</v>
      </c>
      <c r="L129">
        <v>2.4</v>
      </c>
      <c r="N129">
        <f t="shared" si="29"/>
        <v>191</v>
      </c>
      <c r="O129">
        <f t="shared" si="37"/>
        <v>2.418000000000009</v>
      </c>
      <c r="Q129">
        <f t="shared" si="30"/>
        <v>191</v>
      </c>
      <c r="R129">
        <v>1.8</v>
      </c>
      <c r="T129">
        <f t="shared" si="31"/>
        <v>191</v>
      </c>
      <c r="U129">
        <f t="shared" si="38"/>
        <v>2.1180000000000092</v>
      </c>
      <c r="W129">
        <f t="shared" si="32"/>
        <v>191</v>
      </c>
      <c r="X129">
        <v>2.8</v>
      </c>
      <c r="Z129">
        <f t="shared" si="33"/>
        <v>191</v>
      </c>
      <c r="AA129">
        <f t="shared" si="39"/>
        <v>2.6719999999999997</v>
      </c>
    </row>
    <row r="130" spans="2:27">
      <c r="B130">
        <f t="shared" si="25"/>
        <v>192</v>
      </c>
      <c r="C130">
        <f t="shared" si="34"/>
        <v>2.532</v>
      </c>
      <c r="E130">
        <f t="shared" si="26"/>
        <v>192</v>
      </c>
      <c r="F130">
        <f t="shared" si="35"/>
        <v>2.5160000000000093</v>
      </c>
      <c r="H130">
        <f t="shared" si="27"/>
        <v>192</v>
      </c>
      <c r="I130">
        <f t="shared" si="36"/>
        <v>2.1512000000000064</v>
      </c>
      <c r="K130">
        <f t="shared" si="28"/>
        <v>192</v>
      </c>
      <c r="L130">
        <v>2.4</v>
      </c>
      <c r="N130">
        <f t="shared" si="29"/>
        <v>192</v>
      </c>
      <c r="O130">
        <f t="shared" si="37"/>
        <v>2.4160000000000093</v>
      </c>
      <c r="Q130">
        <f t="shared" si="30"/>
        <v>192</v>
      </c>
      <c r="R130">
        <v>1.8</v>
      </c>
      <c r="T130">
        <f t="shared" si="31"/>
        <v>192</v>
      </c>
      <c r="U130">
        <f t="shared" si="38"/>
        <v>2.1160000000000094</v>
      </c>
      <c r="W130">
        <f t="shared" si="32"/>
        <v>192</v>
      </c>
      <c r="X130">
        <v>2.8</v>
      </c>
      <c r="Z130">
        <f t="shared" si="33"/>
        <v>192</v>
      </c>
      <c r="AA130">
        <f t="shared" si="39"/>
        <v>2.6639999999999997</v>
      </c>
    </row>
    <row r="131" spans="2:27">
      <c r="B131">
        <f t="shared" si="25"/>
        <v>193</v>
      </c>
      <c r="C131">
        <f t="shared" si="34"/>
        <v>2.528</v>
      </c>
      <c r="E131">
        <f t="shared" si="26"/>
        <v>193</v>
      </c>
      <c r="F131">
        <f t="shared" si="35"/>
        <v>2.5140000000000096</v>
      </c>
      <c r="H131">
        <f t="shared" si="27"/>
        <v>193</v>
      </c>
      <c r="I131">
        <f t="shared" si="36"/>
        <v>2.1498000000000066</v>
      </c>
      <c r="K131">
        <f t="shared" si="28"/>
        <v>193</v>
      </c>
      <c r="L131">
        <v>2.4</v>
      </c>
      <c r="N131">
        <f t="shared" si="29"/>
        <v>193</v>
      </c>
      <c r="O131">
        <f t="shared" si="37"/>
        <v>2.4140000000000095</v>
      </c>
      <c r="Q131">
        <f t="shared" si="30"/>
        <v>193</v>
      </c>
      <c r="R131">
        <v>1.8</v>
      </c>
      <c r="T131">
        <f t="shared" si="31"/>
        <v>193</v>
      </c>
      <c r="U131">
        <f t="shared" si="38"/>
        <v>2.1140000000000096</v>
      </c>
      <c r="W131">
        <f t="shared" si="32"/>
        <v>193</v>
      </c>
      <c r="X131">
        <v>2.8</v>
      </c>
      <c r="Z131">
        <f t="shared" si="33"/>
        <v>193</v>
      </c>
      <c r="AA131">
        <f t="shared" si="39"/>
        <v>2.6559999999999997</v>
      </c>
    </row>
    <row r="132" spans="2:27">
      <c r="B132">
        <f t="shared" si="25"/>
        <v>194</v>
      </c>
      <c r="C132">
        <f t="shared" si="34"/>
        <v>2.524</v>
      </c>
      <c r="E132">
        <f t="shared" si="26"/>
        <v>194</v>
      </c>
      <c r="F132">
        <f t="shared" si="35"/>
        <v>2.5120000000000098</v>
      </c>
      <c r="H132">
        <f t="shared" si="27"/>
        <v>194</v>
      </c>
      <c r="I132">
        <f t="shared" si="36"/>
        <v>2.1484000000000067</v>
      </c>
      <c r="K132">
        <f t="shared" si="28"/>
        <v>194</v>
      </c>
      <c r="L132">
        <v>2.4</v>
      </c>
      <c r="N132">
        <f t="shared" si="29"/>
        <v>194</v>
      </c>
      <c r="O132">
        <f t="shared" si="37"/>
        <v>2.4120000000000097</v>
      </c>
      <c r="Q132">
        <f t="shared" si="30"/>
        <v>194</v>
      </c>
      <c r="R132">
        <v>1.8</v>
      </c>
      <c r="T132">
        <f t="shared" si="31"/>
        <v>194</v>
      </c>
      <c r="U132">
        <f t="shared" si="38"/>
        <v>2.1120000000000099</v>
      </c>
      <c r="W132">
        <f t="shared" si="32"/>
        <v>194</v>
      </c>
      <c r="X132">
        <v>2.8</v>
      </c>
      <c r="Z132">
        <f t="shared" si="33"/>
        <v>194</v>
      </c>
      <c r="AA132">
        <f t="shared" si="39"/>
        <v>2.6479999999999997</v>
      </c>
    </row>
    <row r="133" spans="2:27">
      <c r="B133">
        <f t="shared" si="25"/>
        <v>195</v>
      </c>
      <c r="C133">
        <f t="shared" si="34"/>
        <v>2.52</v>
      </c>
      <c r="E133">
        <f t="shared" si="26"/>
        <v>195</v>
      </c>
      <c r="F133">
        <f t="shared" si="35"/>
        <v>2.51000000000001</v>
      </c>
      <c r="H133">
        <f t="shared" si="27"/>
        <v>195</v>
      </c>
      <c r="I133">
        <f t="shared" si="36"/>
        <v>2.1470000000000069</v>
      </c>
      <c r="K133">
        <f t="shared" si="28"/>
        <v>195</v>
      </c>
      <c r="L133">
        <v>2.4</v>
      </c>
      <c r="N133">
        <f t="shared" si="29"/>
        <v>195</v>
      </c>
      <c r="O133">
        <f t="shared" si="37"/>
        <v>2.4100000000000099</v>
      </c>
      <c r="Q133">
        <f t="shared" si="30"/>
        <v>195</v>
      </c>
      <c r="R133">
        <v>1.8</v>
      </c>
      <c r="T133">
        <f t="shared" si="31"/>
        <v>195</v>
      </c>
      <c r="U133">
        <f t="shared" si="38"/>
        <v>2.1100000000000101</v>
      </c>
      <c r="W133">
        <f t="shared" si="32"/>
        <v>195</v>
      </c>
      <c r="X133">
        <v>2.8</v>
      </c>
      <c r="Z133">
        <f t="shared" si="33"/>
        <v>195</v>
      </c>
      <c r="AA133">
        <f t="shared" si="39"/>
        <v>2.6399999999999997</v>
      </c>
    </row>
    <row r="134" spans="2:27">
      <c r="B134">
        <f t="shared" si="25"/>
        <v>196</v>
      </c>
      <c r="C134">
        <f t="shared" si="34"/>
        <v>2.516</v>
      </c>
      <c r="E134">
        <f t="shared" si="26"/>
        <v>196</v>
      </c>
      <c r="F134">
        <f t="shared" si="35"/>
        <v>2.5080000000000102</v>
      </c>
      <c r="H134">
        <f t="shared" si="27"/>
        <v>196</v>
      </c>
      <c r="I134">
        <f t="shared" si="36"/>
        <v>2.1456000000000071</v>
      </c>
      <c r="K134">
        <f t="shared" si="28"/>
        <v>196</v>
      </c>
      <c r="L134">
        <v>2.4</v>
      </c>
      <c r="N134">
        <f t="shared" si="29"/>
        <v>196</v>
      </c>
      <c r="O134">
        <f t="shared" si="37"/>
        <v>2.4080000000000101</v>
      </c>
      <c r="Q134">
        <f t="shared" si="30"/>
        <v>196</v>
      </c>
      <c r="R134">
        <v>1.8</v>
      </c>
      <c r="T134">
        <f t="shared" si="31"/>
        <v>196</v>
      </c>
      <c r="U134">
        <f t="shared" si="38"/>
        <v>2.1080000000000103</v>
      </c>
      <c r="W134">
        <f t="shared" si="32"/>
        <v>196</v>
      </c>
      <c r="X134">
        <v>2.8</v>
      </c>
      <c r="Z134">
        <f t="shared" si="33"/>
        <v>196</v>
      </c>
      <c r="AA134">
        <f t="shared" si="39"/>
        <v>2.6319999999999997</v>
      </c>
    </row>
    <row r="135" spans="2:27">
      <c r="B135">
        <f t="shared" si="25"/>
        <v>197</v>
      </c>
      <c r="C135">
        <f t="shared" si="34"/>
        <v>2.512</v>
      </c>
      <c r="E135">
        <f t="shared" si="26"/>
        <v>197</v>
      </c>
      <c r="F135">
        <f t="shared" si="35"/>
        <v>2.5060000000000104</v>
      </c>
      <c r="H135">
        <f t="shared" si="27"/>
        <v>197</v>
      </c>
      <c r="I135">
        <f t="shared" si="36"/>
        <v>2.1442000000000072</v>
      </c>
      <c r="K135">
        <f t="shared" si="28"/>
        <v>197</v>
      </c>
      <c r="L135">
        <v>2.4</v>
      </c>
      <c r="N135">
        <f t="shared" si="29"/>
        <v>197</v>
      </c>
      <c r="O135">
        <f t="shared" si="37"/>
        <v>2.4060000000000104</v>
      </c>
      <c r="Q135">
        <f t="shared" si="30"/>
        <v>197</v>
      </c>
      <c r="R135">
        <v>1.8</v>
      </c>
      <c r="T135">
        <f t="shared" si="31"/>
        <v>197</v>
      </c>
      <c r="U135">
        <f t="shared" si="38"/>
        <v>2.1060000000000105</v>
      </c>
      <c r="W135">
        <f t="shared" si="32"/>
        <v>197</v>
      </c>
      <c r="X135">
        <v>2.8</v>
      </c>
      <c r="Z135">
        <f t="shared" si="33"/>
        <v>197</v>
      </c>
      <c r="AA135">
        <f t="shared" si="39"/>
        <v>2.6239999999999997</v>
      </c>
    </row>
    <row r="136" spans="2:27">
      <c r="B136">
        <f t="shared" si="25"/>
        <v>198</v>
      </c>
      <c r="C136">
        <f t="shared" si="34"/>
        <v>2.508</v>
      </c>
      <c r="E136">
        <f t="shared" si="26"/>
        <v>198</v>
      </c>
      <c r="F136">
        <f t="shared" si="35"/>
        <v>2.5040000000000107</v>
      </c>
      <c r="H136">
        <f t="shared" si="27"/>
        <v>198</v>
      </c>
      <c r="I136">
        <f t="shared" si="36"/>
        <v>2.1428000000000074</v>
      </c>
      <c r="K136">
        <f t="shared" si="28"/>
        <v>198</v>
      </c>
      <c r="L136">
        <v>2.4</v>
      </c>
      <c r="N136">
        <f t="shared" si="29"/>
        <v>198</v>
      </c>
      <c r="O136">
        <f t="shared" si="37"/>
        <v>2.4040000000000106</v>
      </c>
      <c r="Q136">
        <f t="shared" si="30"/>
        <v>198</v>
      </c>
      <c r="R136">
        <v>1.8</v>
      </c>
      <c r="T136">
        <f t="shared" si="31"/>
        <v>198</v>
      </c>
      <c r="U136">
        <f t="shared" si="38"/>
        <v>2.1040000000000108</v>
      </c>
      <c r="W136">
        <f t="shared" si="32"/>
        <v>198</v>
      </c>
      <c r="X136">
        <v>2.8</v>
      </c>
      <c r="Z136">
        <f t="shared" si="33"/>
        <v>198</v>
      </c>
      <c r="AA136">
        <f t="shared" si="39"/>
        <v>2.6159999999999997</v>
      </c>
    </row>
    <row r="137" spans="2:27">
      <c r="B137">
        <f t="shared" si="25"/>
        <v>199</v>
      </c>
      <c r="C137">
        <f t="shared" si="34"/>
        <v>2.504</v>
      </c>
      <c r="E137">
        <f t="shared" si="26"/>
        <v>199</v>
      </c>
      <c r="F137">
        <f t="shared" si="35"/>
        <v>2.5020000000000109</v>
      </c>
      <c r="H137">
        <f t="shared" si="27"/>
        <v>199</v>
      </c>
      <c r="I137">
        <f t="shared" si="36"/>
        <v>2.1414000000000075</v>
      </c>
      <c r="K137">
        <f t="shared" si="28"/>
        <v>199</v>
      </c>
      <c r="L137">
        <v>2.4</v>
      </c>
      <c r="N137">
        <f t="shared" si="29"/>
        <v>199</v>
      </c>
      <c r="O137">
        <f t="shared" si="37"/>
        <v>2.4020000000000108</v>
      </c>
      <c r="Q137">
        <f t="shared" si="30"/>
        <v>199</v>
      </c>
      <c r="R137">
        <v>1.8</v>
      </c>
      <c r="T137">
        <f t="shared" si="31"/>
        <v>199</v>
      </c>
      <c r="U137">
        <f t="shared" si="38"/>
        <v>2.102000000000011</v>
      </c>
      <c r="W137">
        <f t="shared" si="32"/>
        <v>199</v>
      </c>
      <c r="X137">
        <v>2.8</v>
      </c>
      <c r="Z137">
        <f t="shared" si="33"/>
        <v>199</v>
      </c>
      <c r="AA137">
        <f t="shared" si="39"/>
        <v>2.6079999999999997</v>
      </c>
    </row>
    <row r="138" spans="2:27">
      <c r="B138">
        <f t="shared" si="25"/>
        <v>200</v>
      </c>
      <c r="C138">
        <v>2.5</v>
      </c>
      <c r="E138">
        <f t="shared" si="26"/>
        <v>200</v>
      </c>
      <c r="F138">
        <v>2.5</v>
      </c>
      <c r="H138">
        <f t="shared" si="27"/>
        <v>200</v>
      </c>
      <c r="I138">
        <v>2.14</v>
      </c>
      <c r="K138">
        <f t="shared" si="28"/>
        <v>200</v>
      </c>
      <c r="L138">
        <v>2.4</v>
      </c>
      <c r="N138">
        <f t="shared" si="29"/>
        <v>200</v>
      </c>
      <c r="O138">
        <v>2.4</v>
      </c>
      <c r="Q138">
        <f t="shared" si="30"/>
        <v>200</v>
      </c>
      <c r="R138">
        <v>1.8</v>
      </c>
      <c r="T138">
        <f t="shared" si="31"/>
        <v>200</v>
      </c>
      <c r="U138">
        <v>2.1</v>
      </c>
      <c r="W138">
        <f t="shared" si="32"/>
        <v>200</v>
      </c>
      <c r="X138">
        <v>2.8</v>
      </c>
      <c r="Z138">
        <f t="shared" si="33"/>
        <v>200</v>
      </c>
      <c r="AA138">
        <f t="shared" si="39"/>
        <v>2.5999999999999996</v>
      </c>
    </row>
    <row r="139" spans="2:27">
      <c r="B139">
        <f t="shared" si="25"/>
        <v>201</v>
      </c>
      <c r="C139">
        <f>C138-0.002</f>
        <v>2.4980000000000002</v>
      </c>
      <c r="E139">
        <f t="shared" si="26"/>
        <v>201</v>
      </c>
      <c r="F139">
        <v>2.5</v>
      </c>
      <c r="H139">
        <f t="shared" si="27"/>
        <v>201</v>
      </c>
      <c r="I139">
        <f>I138-0.0007</f>
        <v>2.1393</v>
      </c>
      <c r="K139">
        <f t="shared" si="28"/>
        <v>201</v>
      </c>
      <c r="L139">
        <v>2.4</v>
      </c>
      <c r="N139">
        <f t="shared" si="29"/>
        <v>201</v>
      </c>
      <c r="O139">
        <v>2.4</v>
      </c>
      <c r="Q139">
        <f t="shared" si="30"/>
        <v>201</v>
      </c>
      <c r="R139">
        <v>1.8</v>
      </c>
      <c r="T139">
        <f t="shared" si="31"/>
        <v>201</v>
      </c>
      <c r="U139">
        <v>2.1</v>
      </c>
      <c r="W139">
        <f t="shared" si="32"/>
        <v>201</v>
      </c>
      <c r="X139">
        <v>2.8</v>
      </c>
      <c r="Z139">
        <f t="shared" si="33"/>
        <v>201</v>
      </c>
      <c r="AA139">
        <f>AA138-0.002</f>
        <v>2.5979999999999999</v>
      </c>
    </row>
    <row r="140" spans="2:27">
      <c r="B140">
        <f t="shared" si="25"/>
        <v>202</v>
      </c>
      <c r="C140">
        <f t="shared" ref="C140:C187" si="40">C139-0.002</f>
        <v>2.4960000000000004</v>
      </c>
      <c r="E140">
        <f t="shared" si="26"/>
        <v>202</v>
      </c>
      <c r="F140">
        <v>2.5</v>
      </c>
      <c r="H140">
        <f t="shared" si="27"/>
        <v>202</v>
      </c>
      <c r="I140">
        <f t="shared" ref="I140:I203" si="41">I139-0.0007</f>
        <v>2.1385999999999998</v>
      </c>
      <c r="K140">
        <f t="shared" si="28"/>
        <v>202</v>
      </c>
      <c r="L140">
        <v>2.4</v>
      </c>
      <c r="N140">
        <f t="shared" si="29"/>
        <v>202</v>
      </c>
      <c r="O140">
        <v>2.4</v>
      </c>
      <c r="Q140">
        <f t="shared" si="30"/>
        <v>202</v>
      </c>
      <c r="R140">
        <v>1.8</v>
      </c>
      <c r="T140">
        <f t="shared" si="31"/>
        <v>202</v>
      </c>
      <c r="U140">
        <v>2.1</v>
      </c>
      <c r="W140">
        <f t="shared" si="32"/>
        <v>202</v>
      </c>
      <c r="X140">
        <v>2.8</v>
      </c>
      <c r="Z140">
        <f t="shared" si="33"/>
        <v>202</v>
      </c>
      <c r="AA140">
        <f t="shared" ref="AA140:AA187" si="42">AA139-0.002</f>
        <v>2.5960000000000001</v>
      </c>
    </row>
    <row r="141" spans="2:27">
      <c r="B141">
        <f t="shared" si="25"/>
        <v>203</v>
      </c>
      <c r="C141">
        <f t="shared" si="40"/>
        <v>2.4940000000000007</v>
      </c>
      <c r="E141">
        <f t="shared" si="26"/>
        <v>203</v>
      </c>
      <c r="F141">
        <v>2.5</v>
      </c>
      <c r="H141">
        <f t="shared" si="27"/>
        <v>203</v>
      </c>
      <c r="I141">
        <f t="shared" si="41"/>
        <v>2.1378999999999997</v>
      </c>
      <c r="K141">
        <f t="shared" si="28"/>
        <v>203</v>
      </c>
      <c r="L141">
        <v>2.4</v>
      </c>
      <c r="N141">
        <f t="shared" si="29"/>
        <v>203</v>
      </c>
      <c r="O141">
        <v>2.4</v>
      </c>
      <c r="Q141">
        <f t="shared" si="30"/>
        <v>203</v>
      </c>
      <c r="R141">
        <v>1.8</v>
      </c>
      <c r="T141">
        <f t="shared" si="31"/>
        <v>203</v>
      </c>
      <c r="U141">
        <v>2.1</v>
      </c>
      <c r="W141">
        <f t="shared" si="32"/>
        <v>203</v>
      </c>
      <c r="X141">
        <v>2.8</v>
      </c>
      <c r="Z141">
        <f t="shared" si="33"/>
        <v>203</v>
      </c>
      <c r="AA141">
        <f t="shared" si="42"/>
        <v>2.5940000000000003</v>
      </c>
    </row>
    <row r="142" spans="2:27">
      <c r="B142">
        <f t="shared" si="25"/>
        <v>204</v>
      </c>
      <c r="C142">
        <f t="shared" si="40"/>
        <v>2.4920000000000009</v>
      </c>
      <c r="E142">
        <f t="shared" si="26"/>
        <v>204</v>
      </c>
      <c r="F142">
        <v>2.5</v>
      </c>
      <c r="H142">
        <f t="shared" si="27"/>
        <v>204</v>
      </c>
      <c r="I142">
        <f t="shared" si="41"/>
        <v>2.1371999999999995</v>
      </c>
      <c r="K142">
        <f t="shared" si="28"/>
        <v>204</v>
      </c>
      <c r="L142">
        <v>2.4</v>
      </c>
      <c r="N142">
        <f t="shared" si="29"/>
        <v>204</v>
      </c>
      <c r="O142">
        <v>2.4</v>
      </c>
      <c r="Q142">
        <f t="shared" si="30"/>
        <v>204</v>
      </c>
      <c r="R142">
        <v>1.8</v>
      </c>
      <c r="T142">
        <f t="shared" si="31"/>
        <v>204</v>
      </c>
      <c r="U142">
        <v>2.1</v>
      </c>
      <c r="W142">
        <f t="shared" si="32"/>
        <v>204</v>
      </c>
      <c r="X142">
        <v>2.8</v>
      </c>
      <c r="Z142">
        <f t="shared" si="33"/>
        <v>204</v>
      </c>
      <c r="AA142">
        <f t="shared" si="42"/>
        <v>2.5920000000000005</v>
      </c>
    </row>
    <row r="143" spans="2:27">
      <c r="B143">
        <f t="shared" si="25"/>
        <v>205</v>
      </c>
      <c r="C143">
        <f t="shared" si="40"/>
        <v>2.4900000000000011</v>
      </c>
      <c r="E143">
        <f t="shared" si="26"/>
        <v>205</v>
      </c>
      <c r="F143">
        <v>2.5</v>
      </c>
      <c r="H143">
        <f t="shared" si="27"/>
        <v>205</v>
      </c>
      <c r="I143">
        <f t="shared" si="41"/>
        <v>2.1364999999999994</v>
      </c>
      <c r="K143">
        <f t="shared" si="28"/>
        <v>205</v>
      </c>
      <c r="L143">
        <v>2.4</v>
      </c>
      <c r="N143">
        <f t="shared" si="29"/>
        <v>205</v>
      </c>
      <c r="O143">
        <v>2.4</v>
      </c>
      <c r="Q143">
        <f t="shared" si="30"/>
        <v>205</v>
      </c>
      <c r="R143">
        <v>1.8</v>
      </c>
      <c r="T143">
        <f t="shared" si="31"/>
        <v>205</v>
      </c>
      <c r="U143">
        <v>2.1</v>
      </c>
      <c r="W143">
        <f t="shared" si="32"/>
        <v>205</v>
      </c>
      <c r="X143">
        <v>2.8</v>
      </c>
      <c r="Z143">
        <f t="shared" si="33"/>
        <v>205</v>
      </c>
      <c r="AA143">
        <f t="shared" si="42"/>
        <v>2.5900000000000007</v>
      </c>
    </row>
    <row r="144" spans="2:27">
      <c r="B144">
        <f t="shared" si="25"/>
        <v>206</v>
      </c>
      <c r="C144">
        <f t="shared" si="40"/>
        <v>2.4880000000000013</v>
      </c>
      <c r="E144">
        <f t="shared" si="26"/>
        <v>206</v>
      </c>
      <c r="F144">
        <v>2.5</v>
      </c>
      <c r="H144">
        <f t="shared" si="27"/>
        <v>206</v>
      </c>
      <c r="I144">
        <f t="shared" si="41"/>
        <v>2.1357999999999993</v>
      </c>
      <c r="K144">
        <f t="shared" si="28"/>
        <v>206</v>
      </c>
      <c r="L144">
        <v>2.4</v>
      </c>
      <c r="N144">
        <f t="shared" si="29"/>
        <v>206</v>
      </c>
      <c r="O144">
        <v>2.4</v>
      </c>
      <c r="Q144">
        <f t="shared" si="30"/>
        <v>206</v>
      </c>
      <c r="R144">
        <v>1.8</v>
      </c>
      <c r="T144">
        <f t="shared" si="31"/>
        <v>206</v>
      </c>
      <c r="U144">
        <v>2.1</v>
      </c>
      <c r="W144">
        <f t="shared" si="32"/>
        <v>206</v>
      </c>
      <c r="X144">
        <v>2.8</v>
      </c>
      <c r="Z144">
        <f t="shared" si="33"/>
        <v>206</v>
      </c>
      <c r="AA144">
        <f t="shared" si="42"/>
        <v>2.588000000000001</v>
      </c>
    </row>
    <row r="145" spans="2:27">
      <c r="B145">
        <f t="shared" si="25"/>
        <v>207</v>
      </c>
      <c r="C145">
        <f t="shared" si="40"/>
        <v>2.4860000000000015</v>
      </c>
      <c r="E145">
        <f t="shared" si="26"/>
        <v>207</v>
      </c>
      <c r="F145">
        <v>2.5</v>
      </c>
      <c r="H145">
        <f t="shared" si="27"/>
        <v>207</v>
      </c>
      <c r="I145">
        <f t="shared" si="41"/>
        <v>2.1350999999999991</v>
      </c>
      <c r="K145">
        <f t="shared" si="28"/>
        <v>207</v>
      </c>
      <c r="L145">
        <v>2.4</v>
      </c>
      <c r="N145">
        <f t="shared" si="29"/>
        <v>207</v>
      </c>
      <c r="O145">
        <v>2.4</v>
      </c>
      <c r="Q145">
        <f t="shared" si="30"/>
        <v>207</v>
      </c>
      <c r="R145">
        <v>1.8</v>
      </c>
      <c r="T145">
        <f t="shared" si="31"/>
        <v>207</v>
      </c>
      <c r="U145">
        <v>2.1</v>
      </c>
      <c r="W145">
        <f t="shared" si="32"/>
        <v>207</v>
      </c>
      <c r="X145">
        <v>2.8</v>
      </c>
      <c r="Z145">
        <f t="shared" si="33"/>
        <v>207</v>
      </c>
      <c r="AA145">
        <f t="shared" si="42"/>
        <v>2.5860000000000012</v>
      </c>
    </row>
    <row r="146" spans="2:27">
      <c r="B146">
        <f t="shared" si="25"/>
        <v>208</v>
      </c>
      <c r="C146">
        <f t="shared" si="40"/>
        <v>2.4840000000000018</v>
      </c>
      <c r="E146">
        <f t="shared" si="26"/>
        <v>208</v>
      </c>
      <c r="F146">
        <v>2.5</v>
      </c>
      <c r="H146">
        <f t="shared" si="27"/>
        <v>208</v>
      </c>
      <c r="I146">
        <f t="shared" si="41"/>
        <v>2.134399999999999</v>
      </c>
      <c r="K146">
        <f t="shared" si="28"/>
        <v>208</v>
      </c>
      <c r="L146">
        <v>2.4</v>
      </c>
      <c r="N146">
        <f t="shared" si="29"/>
        <v>208</v>
      </c>
      <c r="O146">
        <v>2.4</v>
      </c>
      <c r="Q146">
        <f t="shared" si="30"/>
        <v>208</v>
      </c>
      <c r="R146">
        <v>1.8</v>
      </c>
      <c r="T146">
        <f t="shared" si="31"/>
        <v>208</v>
      </c>
      <c r="U146">
        <v>2.1</v>
      </c>
      <c r="W146">
        <f t="shared" si="32"/>
        <v>208</v>
      </c>
      <c r="X146">
        <v>2.8</v>
      </c>
      <c r="Z146">
        <f t="shared" si="33"/>
        <v>208</v>
      </c>
      <c r="AA146">
        <f t="shared" si="42"/>
        <v>2.5840000000000014</v>
      </c>
    </row>
    <row r="147" spans="2:27">
      <c r="B147">
        <f t="shared" si="25"/>
        <v>209</v>
      </c>
      <c r="C147">
        <f t="shared" si="40"/>
        <v>2.482000000000002</v>
      </c>
      <c r="E147">
        <f t="shared" si="26"/>
        <v>209</v>
      </c>
      <c r="F147">
        <v>2.5</v>
      </c>
      <c r="H147">
        <f t="shared" si="27"/>
        <v>209</v>
      </c>
      <c r="I147">
        <f t="shared" si="41"/>
        <v>2.1336999999999988</v>
      </c>
      <c r="K147">
        <f t="shared" si="28"/>
        <v>209</v>
      </c>
      <c r="L147">
        <v>2.4</v>
      </c>
      <c r="N147">
        <f t="shared" si="29"/>
        <v>209</v>
      </c>
      <c r="O147">
        <v>2.4</v>
      </c>
      <c r="Q147">
        <f t="shared" si="30"/>
        <v>209</v>
      </c>
      <c r="R147">
        <v>1.8</v>
      </c>
      <c r="T147">
        <f t="shared" si="31"/>
        <v>209</v>
      </c>
      <c r="U147">
        <v>2.1</v>
      </c>
      <c r="W147">
        <f t="shared" si="32"/>
        <v>209</v>
      </c>
      <c r="X147">
        <v>2.8</v>
      </c>
      <c r="Z147">
        <f t="shared" si="33"/>
        <v>209</v>
      </c>
      <c r="AA147">
        <f t="shared" si="42"/>
        <v>2.5820000000000016</v>
      </c>
    </row>
    <row r="148" spans="2:27">
      <c r="B148">
        <f t="shared" ref="B148:B211" si="43">B147+1</f>
        <v>210</v>
      </c>
      <c r="C148">
        <f t="shared" si="40"/>
        <v>2.4800000000000022</v>
      </c>
      <c r="E148">
        <f t="shared" ref="E148:E211" si="44">E147+1</f>
        <v>210</v>
      </c>
      <c r="F148">
        <v>2.5</v>
      </c>
      <c r="H148">
        <f t="shared" ref="H148:H211" si="45">H147+1</f>
        <v>210</v>
      </c>
      <c r="I148">
        <f t="shared" si="41"/>
        <v>2.1329999999999987</v>
      </c>
      <c r="K148">
        <f t="shared" ref="K148:K211" si="46">K147+1</f>
        <v>210</v>
      </c>
      <c r="L148">
        <v>2.4</v>
      </c>
      <c r="N148">
        <f t="shared" ref="N148:N211" si="47">N147+1</f>
        <v>210</v>
      </c>
      <c r="O148">
        <v>2.4</v>
      </c>
      <c r="Q148">
        <f t="shared" ref="Q148:Q211" si="48">Q147+1</f>
        <v>210</v>
      </c>
      <c r="R148">
        <v>1.8</v>
      </c>
      <c r="T148">
        <f t="shared" ref="T148:T211" si="49">T147+1</f>
        <v>210</v>
      </c>
      <c r="U148">
        <v>2.1</v>
      </c>
      <c r="W148">
        <f t="shared" ref="W148:W211" si="50">W147+1</f>
        <v>210</v>
      </c>
      <c r="X148">
        <v>2.8</v>
      </c>
      <c r="Z148">
        <f t="shared" ref="Z148:Z211" si="51">Z147+1</f>
        <v>210</v>
      </c>
      <c r="AA148">
        <f t="shared" si="42"/>
        <v>2.5800000000000018</v>
      </c>
    </row>
    <row r="149" spans="2:27">
      <c r="B149">
        <f t="shared" si="43"/>
        <v>211</v>
      </c>
      <c r="C149">
        <f t="shared" si="40"/>
        <v>2.4780000000000024</v>
      </c>
      <c r="E149">
        <f t="shared" si="44"/>
        <v>211</v>
      </c>
      <c r="F149">
        <v>2.5</v>
      </c>
      <c r="H149">
        <f t="shared" si="45"/>
        <v>211</v>
      </c>
      <c r="I149">
        <f t="shared" si="41"/>
        <v>2.1322999999999985</v>
      </c>
      <c r="K149">
        <f t="shared" si="46"/>
        <v>211</v>
      </c>
      <c r="L149">
        <v>2.4</v>
      </c>
      <c r="N149">
        <f t="shared" si="47"/>
        <v>211</v>
      </c>
      <c r="O149">
        <v>2.4</v>
      </c>
      <c r="Q149">
        <f t="shared" si="48"/>
        <v>211</v>
      </c>
      <c r="R149">
        <v>1.8</v>
      </c>
      <c r="T149">
        <f t="shared" si="49"/>
        <v>211</v>
      </c>
      <c r="U149">
        <v>2.1</v>
      </c>
      <c r="W149">
        <f t="shared" si="50"/>
        <v>211</v>
      </c>
      <c r="X149">
        <v>2.8</v>
      </c>
      <c r="Z149">
        <f t="shared" si="51"/>
        <v>211</v>
      </c>
      <c r="AA149">
        <f t="shared" si="42"/>
        <v>2.5780000000000021</v>
      </c>
    </row>
    <row r="150" spans="2:27">
      <c r="B150">
        <f t="shared" si="43"/>
        <v>212</v>
      </c>
      <c r="C150">
        <f t="shared" si="40"/>
        <v>2.4760000000000026</v>
      </c>
      <c r="E150">
        <f t="shared" si="44"/>
        <v>212</v>
      </c>
      <c r="F150">
        <v>2.5</v>
      </c>
      <c r="H150">
        <f t="shared" si="45"/>
        <v>212</v>
      </c>
      <c r="I150">
        <f t="shared" si="41"/>
        <v>2.1315999999999984</v>
      </c>
      <c r="K150">
        <f t="shared" si="46"/>
        <v>212</v>
      </c>
      <c r="L150">
        <v>2.4</v>
      </c>
      <c r="N150">
        <f t="shared" si="47"/>
        <v>212</v>
      </c>
      <c r="O150">
        <v>2.4</v>
      </c>
      <c r="Q150">
        <f t="shared" si="48"/>
        <v>212</v>
      </c>
      <c r="R150">
        <v>1.8</v>
      </c>
      <c r="T150">
        <f t="shared" si="49"/>
        <v>212</v>
      </c>
      <c r="U150">
        <v>2.1</v>
      </c>
      <c r="W150">
        <f t="shared" si="50"/>
        <v>212</v>
      </c>
      <c r="X150">
        <v>2.8</v>
      </c>
      <c r="Z150">
        <f t="shared" si="51"/>
        <v>212</v>
      </c>
      <c r="AA150">
        <f t="shared" si="42"/>
        <v>2.5760000000000023</v>
      </c>
    </row>
    <row r="151" spans="2:27">
      <c r="B151">
        <f t="shared" si="43"/>
        <v>213</v>
      </c>
      <c r="C151">
        <f t="shared" si="40"/>
        <v>2.4740000000000029</v>
      </c>
      <c r="E151">
        <f t="shared" si="44"/>
        <v>213</v>
      </c>
      <c r="F151">
        <v>2.5</v>
      </c>
      <c r="H151">
        <f t="shared" si="45"/>
        <v>213</v>
      </c>
      <c r="I151">
        <f t="shared" si="41"/>
        <v>2.1308999999999982</v>
      </c>
      <c r="K151">
        <f t="shared" si="46"/>
        <v>213</v>
      </c>
      <c r="L151">
        <v>2.4</v>
      </c>
      <c r="N151">
        <f t="shared" si="47"/>
        <v>213</v>
      </c>
      <c r="O151">
        <v>2.4</v>
      </c>
      <c r="Q151">
        <f t="shared" si="48"/>
        <v>213</v>
      </c>
      <c r="R151">
        <v>1.8</v>
      </c>
      <c r="T151">
        <f t="shared" si="49"/>
        <v>213</v>
      </c>
      <c r="U151">
        <v>2.1</v>
      </c>
      <c r="W151">
        <f t="shared" si="50"/>
        <v>213</v>
      </c>
      <c r="X151">
        <v>2.8</v>
      </c>
      <c r="Z151">
        <f t="shared" si="51"/>
        <v>213</v>
      </c>
      <c r="AA151">
        <f t="shared" si="42"/>
        <v>2.5740000000000025</v>
      </c>
    </row>
    <row r="152" spans="2:27">
      <c r="B152">
        <f t="shared" si="43"/>
        <v>214</v>
      </c>
      <c r="C152">
        <f t="shared" si="40"/>
        <v>2.4720000000000031</v>
      </c>
      <c r="E152">
        <f t="shared" si="44"/>
        <v>214</v>
      </c>
      <c r="F152">
        <v>2.5</v>
      </c>
      <c r="H152">
        <f t="shared" si="45"/>
        <v>214</v>
      </c>
      <c r="I152">
        <f t="shared" si="41"/>
        <v>2.1301999999999981</v>
      </c>
      <c r="K152">
        <f t="shared" si="46"/>
        <v>214</v>
      </c>
      <c r="L152">
        <v>2.4</v>
      </c>
      <c r="N152">
        <f t="shared" si="47"/>
        <v>214</v>
      </c>
      <c r="O152">
        <v>2.4</v>
      </c>
      <c r="Q152">
        <f t="shared" si="48"/>
        <v>214</v>
      </c>
      <c r="R152">
        <v>1.8</v>
      </c>
      <c r="T152">
        <f t="shared" si="49"/>
        <v>214</v>
      </c>
      <c r="U152">
        <v>2.1</v>
      </c>
      <c r="W152">
        <f t="shared" si="50"/>
        <v>214</v>
      </c>
      <c r="X152">
        <v>2.8</v>
      </c>
      <c r="Z152">
        <f t="shared" si="51"/>
        <v>214</v>
      </c>
      <c r="AA152">
        <f t="shared" si="42"/>
        <v>2.5720000000000027</v>
      </c>
    </row>
    <row r="153" spans="2:27">
      <c r="B153">
        <f t="shared" si="43"/>
        <v>215</v>
      </c>
      <c r="C153">
        <f t="shared" si="40"/>
        <v>2.4700000000000033</v>
      </c>
      <c r="E153">
        <f t="shared" si="44"/>
        <v>215</v>
      </c>
      <c r="F153">
        <v>2.5</v>
      </c>
      <c r="H153">
        <f t="shared" si="45"/>
        <v>215</v>
      </c>
      <c r="I153">
        <f t="shared" si="41"/>
        <v>2.129499999999998</v>
      </c>
      <c r="K153">
        <f t="shared" si="46"/>
        <v>215</v>
      </c>
      <c r="L153">
        <v>2.4</v>
      </c>
      <c r="N153">
        <f t="shared" si="47"/>
        <v>215</v>
      </c>
      <c r="O153">
        <v>2.4</v>
      </c>
      <c r="Q153">
        <f t="shared" si="48"/>
        <v>215</v>
      </c>
      <c r="R153">
        <v>1.8</v>
      </c>
      <c r="T153">
        <f t="shared" si="49"/>
        <v>215</v>
      </c>
      <c r="U153">
        <v>2.1</v>
      </c>
      <c r="W153">
        <f t="shared" si="50"/>
        <v>215</v>
      </c>
      <c r="X153">
        <v>2.8</v>
      </c>
      <c r="Z153">
        <f t="shared" si="51"/>
        <v>215</v>
      </c>
      <c r="AA153">
        <f t="shared" si="42"/>
        <v>2.5700000000000029</v>
      </c>
    </row>
    <row r="154" spans="2:27">
      <c r="B154">
        <f t="shared" si="43"/>
        <v>216</v>
      </c>
      <c r="C154">
        <f t="shared" si="40"/>
        <v>2.4680000000000035</v>
      </c>
      <c r="E154">
        <f t="shared" si="44"/>
        <v>216</v>
      </c>
      <c r="F154">
        <v>2.5</v>
      </c>
      <c r="H154">
        <f t="shared" si="45"/>
        <v>216</v>
      </c>
      <c r="I154">
        <f t="shared" si="41"/>
        <v>2.1287999999999978</v>
      </c>
      <c r="K154">
        <f t="shared" si="46"/>
        <v>216</v>
      </c>
      <c r="L154">
        <v>2.4</v>
      </c>
      <c r="N154">
        <f t="shared" si="47"/>
        <v>216</v>
      </c>
      <c r="O154">
        <v>2.4</v>
      </c>
      <c r="Q154">
        <f t="shared" si="48"/>
        <v>216</v>
      </c>
      <c r="R154">
        <v>1.8</v>
      </c>
      <c r="T154">
        <f t="shared" si="49"/>
        <v>216</v>
      </c>
      <c r="U154">
        <v>2.1</v>
      </c>
      <c r="W154">
        <f t="shared" si="50"/>
        <v>216</v>
      </c>
      <c r="X154">
        <v>2.8</v>
      </c>
      <c r="Z154">
        <f t="shared" si="51"/>
        <v>216</v>
      </c>
      <c r="AA154">
        <f t="shared" si="42"/>
        <v>2.5680000000000032</v>
      </c>
    </row>
    <row r="155" spans="2:27">
      <c r="B155">
        <f t="shared" si="43"/>
        <v>217</v>
      </c>
      <c r="C155">
        <f t="shared" si="40"/>
        <v>2.4660000000000037</v>
      </c>
      <c r="E155">
        <f t="shared" si="44"/>
        <v>217</v>
      </c>
      <c r="F155">
        <v>2.5</v>
      </c>
      <c r="H155">
        <f t="shared" si="45"/>
        <v>217</v>
      </c>
      <c r="I155">
        <f t="shared" si="41"/>
        <v>2.1280999999999977</v>
      </c>
      <c r="K155">
        <f t="shared" si="46"/>
        <v>217</v>
      </c>
      <c r="L155">
        <v>2.4</v>
      </c>
      <c r="N155">
        <f t="shared" si="47"/>
        <v>217</v>
      </c>
      <c r="O155">
        <v>2.4</v>
      </c>
      <c r="Q155">
        <f t="shared" si="48"/>
        <v>217</v>
      </c>
      <c r="R155">
        <v>1.8</v>
      </c>
      <c r="T155">
        <f t="shared" si="49"/>
        <v>217</v>
      </c>
      <c r="U155">
        <v>2.1</v>
      </c>
      <c r="W155">
        <f t="shared" si="50"/>
        <v>217</v>
      </c>
      <c r="X155">
        <v>2.8</v>
      </c>
      <c r="Z155">
        <f t="shared" si="51"/>
        <v>217</v>
      </c>
      <c r="AA155">
        <f t="shared" si="42"/>
        <v>2.5660000000000034</v>
      </c>
    </row>
    <row r="156" spans="2:27">
      <c r="B156">
        <f t="shared" si="43"/>
        <v>218</v>
      </c>
      <c r="C156">
        <f t="shared" si="40"/>
        <v>2.464000000000004</v>
      </c>
      <c r="E156">
        <f t="shared" si="44"/>
        <v>218</v>
      </c>
      <c r="F156">
        <v>2.5</v>
      </c>
      <c r="H156">
        <f t="shared" si="45"/>
        <v>218</v>
      </c>
      <c r="I156">
        <f t="shared" si="41"/>
        <v>2.1273999999999975</v>
      </c>
      <c r="K156">
        <f t="shared" si="46"/>
        <v>218</v>
      </c>
      <c r="L156">
        <v>2.4</v>
      </c>
      <c r="N156">
        <f t="shared" si="47"/>
        <v>218</v>
      </c>
      <c r="O156">
        <v>2.4</v>
      </c>
      <c r="Q156">
        <f t="shared" si="48"/>
        <v>218</v>
      </c>
      <c r="R156">
        <v>1.8</v>
      </c>
      <c r="T156">
        <f t="shared" si="49"/>
        <v>218</v>
      </c>
      <c r="U156">
        <v>2.1</v>
      </c>
      <c r="W156">
        <f t="shared" si="50"/>
        <v>218</v>
      </c>
      <c r="X156">
        <v>2.8</v>
      </c>
      <c r="Z156">
        <f t="shared" si="51"/>
        <v>218</v>
      </c>
      <c r="AA156">
        <f t="shared" si="42"/>
        <v>2.5640000000000036</v>
      </c>
    </row>
    <row r="157" spans="2:27">
      <c r="B157">
        <f t="shared" si="43"/>
        <v>219</v>
      </c>
      <c r="C157">
        <f t="shared" si="40"/>
        <v>2.4620000000000042</v>
      </c>
      <c r="E157">
        <f t="shared" si="44"/>
        <v>219</v>
      </c>
      <c r="F157">
        <v>2.5</v>
      </c>
      <c r="H157">
        <f t="shared" si="45"/>
        <v>219</v>
      </c>
      <c r="I157">
        <f t="shared" si="41"/>
        <v>2.1266999999999974</v>
      </c>
      <c r="K157">
        <f t="shared" si="46"/>
        <v>219</v>
      </c>
      <c r="L157">
        <v>2.4</v>
      </c>
      <c r="N157">
        <f t="shared" si="47"/>
        <v>219</v>
      </c>
      <c r="O157">
        <v>2.4</v>
      </c>
      <c r="Q157">
        <f t="shared" si="48"/>
        <v>219</v>
      </c>
      <c r="R157">
        <v>1.8</v>
      </c>
      <c r="T157">
        <f t="shared" si="49"/>
        <v>219</v>
      </c>
      <c r="U157">
        <v>2.1</v>
      </c>
      <c r="W157">
        <f t="shared" si="50"/>
        <v>219</v>
      </c>
      <c r="X157">
        <v>2.8</v>
      </c>
      <c r="Z157">
        <f t="shared" si="51"/>
        <v>219</v>
      </c>
      <c r="AA157">
        <f t="shared" si="42"/>
        <v>2.5620000000000038</v>
      </c>
    </row>
    <row r="158" spans="2:27">
      <c r="B158">
        <f t="shared" si="43"/>
        <v>220</v>
      </c>
      <c r="C158">
        <f t="shared" si="40"/>
        <v>2.4600000000000044</v>
      </c>
      <c r="E158">
        <f t="shared" si="44"/>
        <v>220</v>
      </c>
      <c r="F158">
        <v>2.5</v>
      </c>
      <c r="H158">
        <f t="shared" si="45"/>
        <v>220</v>
      </c>
      <c r="I158">
        <f t="shared" si="41"/>
        <v>2.1259999999999972</v>
      </c>
      <c r="K158">
        <f t="shared" si="46"/>
        <v>220</v>
      </c>
      <c r="L158">
        <v>2.4</v>
      </c>
      <c r="N158">
        <f t="shared" si="47"/>
        <v>220</v>
      </c>
      <c r="O158">
        <v>2.4</v>
      </c>
      <c r="Q158">
        <f t="shared" si="48"/>
        <v>220</v>
      </c>
      <c r="R158">
        <v>1.8</v>
      </c>
      <c r="T158">
        <f t="shared" si="49"/>
        <v>220</v>
      </c>
      <c r="U158">
        <v>2.1</v>
      </c>
      <c r="W158">
        <f t="shared" si="50"/>
        <v>220</v>
      </c>
      <c r="X158">
        <v>2.8</v>
      </c>
      <c r="Z158">
        <f t="shared" si="51"/>
        <v>220</v>
      </c>
      <c r="AA158">
        <f t="shared" si="42"/>
        <v>2.5600000000000041</v>
      </c>
    </row>
    <row r="159" spans="2:27">
      <c r="B159">
        <f t="shared" si="43"/>
        <v>221</v>
      </c>
      <c r="C159">
        <f t="shared" si="40"/>
        <v>2.4580000000000046</v>
      </c>
      <c r="E159">
        <f t="shared" si="44"/>
        <v>221</v>
      </c>
      <c r="F159">
        <v>2.5</v>
      </c>
      <c r="H159">
        <f t="shared" si="45"/>
        <v>221</v>
      </c>
      <c r="I159">
        <f t="shared" si="41"/>
        <v>2.1252999999999971</v>
      </c>
      <c r="K159">
        <f t="shared" si="46"/>
        <v>221</v>
      </c>
      <c r="L159">
        <v>2.4</v>
      </c>
      <c r="N159">
        <f t="shared" si="47"/>
        <v>221</v>
      </c>
      <c r="O159">
        <v>2.4</v>
      </c>
      <c r="Q159">
        <f t="shared" si="48"/>
        <v>221</v>
      </c>
      <c r="R159">
        <v>1.8</v>
      </c>
      <c r="T159">
        <f t="shared" si="49"/>
        <v>221</v>
      </c>
      <c r="U159">
        <v>2.1</v>
      </c>
      <c r="W159">
        <f t="shared" si="50"/>
        <v>221</v>
      </c>
      <c r="X159">
        <v>2.8</v>
      </c>
      <c r="Z159">
        <f t="shared" si="51"/>
        <v>221</v>
      </c>
      <c r="AA159">
        <f t="shared" si="42"/>
        <v>2.5580000000000043</v>
      </c>
    </row>
    <row r="160" spans="2:27">
      <c r="B160">
        <f t="shared" si="43"/>
        <v>222</v>
      </c>
      <c r="C160">
        <f t="shared" si="40"/>
        <v>2.4560000000000048</v>
      </c>
      <c r="E160">
        <f t="shared" si="44"/>
        <v>222</v>
      </c>
      <c r="F160">
        <v>2.5</v>
      </c>
      <c r="H160">
        <f t="shared" si="45"/>
        <v>222</v>
      </c>
      <c r="I160">
        <f t="shared" si="41"/>
        <v>2.1245999999999969</v>
      </c>
      <c r="K160">
        <f t="shared" si="46"/>
        <v>222</v>
      </c>
      <c r="L160">
        <v>2.4</v>
      </c>
      <c r="N160">
        <f t="shared" si="47"/>
        <v>222</v>
      </c>
      <c r="O160">
        <v>2.4</v>
      </c>
      <c r="Q160">
        <f t="shared" si="48"/>
        <v>222</v>
      </c>
      <c r="R160">
        <v>1.8</v>
      </c>
      <c r="T160">
        <f t="shared" si="49"/>
        <v>222</v>
      </c>
      <c r="U160">
        <v>2.1</v>
      </c>
      <c r="W160">
        <f t="shared" si="50"/>
        <v>222</v>
      </c>
      <c r="X160">
        <v>2.8</v>
      </c>
      <c r="Z160">
        <f t="shared" si="51"/>
        <v>222</v>
      </c>
      <c r="AA160">
        <f t="shared" si="42"/>
        <v>2.5560000000000045</v>
      </c>
    </row>
    <row r="161" spans="2:27">
      <c r="B161">
        <f t="shared" si="43"/>
        <v>223</v>
      </c>
      <c r="C161">
        <f t="shared" si="40"/>
        <v>2.4540000000000051</v>
      </c>
      <c r="E161">
        <f t="shared" si="44"/>
        <v>223</v>
      </c>
      <c r="F161">
        <v>2.5</v>
      </c>
      <c r="H161">
        <f t="shared" si="45"/>
        <v>223</v>
      </c>
      <c r="I161">
        <f t="shared" si="41"/>
        <v>2.1238999999999968</v>
      </c>
      <c r="K161">
        <f t="shared" si="46"/>
        <v>223</v>
      </c>
      <c r="L161">
        <v>2.4</v>
      </c>
      <c r="N161">
        <f t="shared" si="47"/>
        <v>223</v>
      </c>
      <c r="O161">
        <v>2.4</v>
      </c>
      <c r="Q161">
        <f t="shared" si="48"/>
        <v>223</v>
      </c>
      <c r="R161">
        <v>1.8</v>
      </c>
      <c r="T161">
        <f t="shared" si="49"/>
        <v>223</v>
      </c>
      <c r="U161">
        <v>2.1</v>
      </c>
      <c r="W161">
        <f t="shared" si="50"/>
        <v>223</v>
      </c>
      <c r="X161">
        <v>2.8</v>
      </c>
      <c r="Z161">
        <f t="shared" si="51"/>
        <v>223</v>
      </c>
      <c r="AA161">
        <f t="shared" si="42"/>
        <v>2.5540000000000047</v>
      </c>
    </row>
    <row r="162" spans="2:27">
      <c r="B162">
        <f t="shared" si="43"/>
        <v>224</v>
      </c>
      <c r="C162">
        <f t="shared" si="40"/>
        <v>2.4520000000000053</v>
      </c>
      <c r="E162">
        <f t="shared" si="44"/>
        <v>224</v>
      </c>
      <c r="F162">
        <v>2.5</v>
      </c>
      <c r="H162">
        <f t="shared" si="45"/>
        <v>224</v>
      </c>
      <c r="I162">
        <f t="shared" si="41"/>
        <v>2.1231999999999966</v>
      </c>
      <c r="K162">
        <f t="shared" si="46"/>
        <v>224</v>
      </c>
      <c r="L162">
        <v>2.4</v>
      </c>
      <c r="N162">
        <f t="shared" si="47"/>
        <v>224</v>
      </c>
      <c r="O162">
        <v>2.4</v>
      </c>
      <c r="Q162">
        <f t="shared" si="48"/>
        <v>224</v>
      </c>
      <c r="R162">
        <v>1.8</v>
      </c>
      <c r="T162">
        <f t="shared" si="49"/>
        <v>224</v>
      </c>
      <c r="U162">
        <v>2.1</v>
      </c>
      <c r="W162">
        <f t="shared" si="50"/>
        <v>224</v>
      </c>
      <c r="X162">
        <v>2.8</v>
      </c>
      <c r="Z162">
        <f t="shared" si="51"/>
        <v>224</v>
      </c>
      <c r="AA162">
        <f t="shared" si="42"/>
        <v>2.5520000000000049</v>
      </c>
    </row>
    <row r="163" spans="2:27">
      <c r="B163">
        <f t="shared" si="43"/>
        <v>225</v>
      </c>
      <c r="C163">
        <f t="shared" si="40"/>
        <v>2.4500000000000055</v>
      </c>
      <c r="E163">
        <f t="shared" si="44"/>
        <v>225</v>
      </c>
      <c r="F163">
        <v>2.5</v>
      </c>
      <c r="H163">
        <f t="shared" si="45"/>
        <v>225</v>
      </c>
      <c r="I163">
        <f t="shared" si="41"/>
        <v>2.1224999999999965</v>
      </c>
      <c r="K163">
        <f t="shared" si="46"/>
        <v>225</v>
      </c>
      <c r="L163">
        <v>2.4</v>
      </c>
      <c r="N163">
        <f t="shared" si="47"/>
        <v>225</v>
      </c>
      <c r="O163">
        <v>2.4</v>
      </c>
      <c r="Q163">
        <f t="shared" si="48"/>
        <v>225</v>
      </c>
      <c r="R163">
        <v>1.8</v>
      </c>
      <c r="T163">
        <f t="shared" si="49"/>
        <v>225</v>
      </c>
      <c r="U163">
        <v>2.1</v>
      </c>
      <c r="W163">
        <f t="shared" si="50"/>
        <v>225</v>
      </c>
      <c r="X163">
        <v>2.8</v>
      </c>
      <c r="Z163">
        <f t="shared" si="51"/>
        <v>225</v>
      </c>
      <c r="AA163">
        <f t="shared" si="42"/>
        <v>2.5500000000000052</v>
      </c>
    </row>
    <row r="164" spans="2:27">
      <c r="B164">
        <f t="shared" si="43"/>
        <v>226</v>
      </c>
      <c r="C164">
        <f t="shared" si="40"/>
        <v>2.4480000000000057</v>
      </c>
      <c r="E164">
        <f t="shared" si="44"/>
        <v>226</v>
      </c>
      <c r="F164">
        <v>2.5</v>
      </c>
      <c r="H164">
        <f t="shared" si="45"/>
        <v>226</v>
      </c>
      <c r="I164">
        <f t="shared" si="41"/>
        <v>2.1217999999999964</v>
      </c>
      <c r="K164">
        <f t="shared" si="46"/>
        <v>226</v>
      </c>
      <c r="L164">
        <v>2.4</v>
      </c>
      <c r="N164">
        <f t="shared" si="47"/>
        <v>226</v>
      </c>
      <c r="O164">
        <v>2.4</v>
      </c>
      <c r="Q164">
        <f t="shared" si="48"/>
        <v>226</v>
      </c>
      <c r="R164">
        <v>1.8</v>
      </c>
      <c r="T164">
        <f t="shared" si="49"/>
        <v>226</v>
      </c>
      <c r="U164">
        <v>2.1</v>
      </c>
      <c r="W164">
        <f t="shared" si="50"/>
        <v>226</v>
      </c>
      <c r="X164">
        <v>2.8</v>
      </c>
      <c r="Z164">
        <f t="shared" si="51"/>
        <v>226</v>
      </c>
      <c r="AA164">
        <f t="shared" si="42"/>
        <v>2.5480000000000054</v>
      </c>
    </row>
    <row r="165" spans="2:27">
      <c r="B165">
        <f t="shared" si="43"/>
        <v>227</v>
      </c>
      <c r="C165">
        <f t="shared" si="40"/>
        <v>2.4460000000000059</v>
      </c>
      <c r="E165">
        <f t="shared" si="44"/>
        <v>227</v>
      </c>
      <c r="F165">
        <v>2.5</v>
      </c>
      <c r="H165">
        <f t="shared" si="45"/>
        <v>227</v>
      </c>
      <c r="I165">
        <f t="shared" si="41"/>
        <v>2.1210999999999962</v>
      </c>
      <c r="K165">
        <f t="shared" si="46"/>
        <v>227</v>
      </c>
      <c r="L165">
        <v>2.4</v>
      </c>
      <c r="N165">
        <f t="shared" si="47"/>
        <v>227</v>
      </c>
      <c r="O165">
        <v>2.4</v>
      </c>
      <c r="Q165">
        <f t="shared" si="48"/>
        <v>227</v>
      </c>
      <c r="R165">
        <v>1.8</v>
      </c>
      <c r="T165">
        <f t="shared" si="49"/>
        <v>227</v>
      </c>
      <c r="U165">
        <v>2.1</v>
      </c>
      <c r="W165">
        <f t="shared" si="50"/>
        <v>227</v>
      </c>
      <c r="X165">
        <v>2.8</v>
      </c>
      <c r="Z165">
        <f t="shared" si="51"/>
        <v>227</v>
      </c>
      <c r="AA165">
        <f t="shared" si="42"/>
        <v>2.5460000000000056</v>
      </c>
    </row>
    <row r="166" spans="2:27">
      <c r="B166">
        <f t="shared" si="43"/>
        <v>228</v>
      </c>
      <c r="C166">
        <f t="shared" si="40"/>
        <v>2.4440000000000062</v>
      </c>
      <c r="E166">
        <f t="shared" si="44"/>
        <v>228</v>
      </c>
      <c r="F166">
        <v>2.5</v>
      </c>
      <c r="H166">
        <f t="shared" si="45"/>
        <v>228</v>
      </c>
      <c r="I166">
        <f t="shared" si="41"/>
        <v>2.1203999999999961</v>
      </c>
      <c r="K166">
        <f t="shared" si="46"/>
        <v>228</v>
      </c>
      <c r="L166">
        <v>2.4</v>
      </c>
      <c r="N166">
        <f t="shared" si="47"/>
        <v>228</v>
      </c>
      <c r="O166">
        <v>2.4</v>
      </c>
      <c r="Q166">
        <f t="shared" si="48"/>
        <v>228</v>
      </c>
      <c r="R166">
        <v>1.8</v>
      </c>
      <c r="T166">
        <f t="shared" si="49"/>
        <v>228</v>
      </c>
      <c r="U166">
        <v>2.1</v>
      </c>
      <c r="W166">
        <f t="shared" si="50"/>
        <v>228</v>
      </c>
      <c r="X166">
        <v>2.8</v>
      </c>
      <c r="Z166">
        <f t="shared" si="51"/>
        <v>228</v>
      </c>
      <c r="AA166">
        <f t="shared" si="42"/>
        <v>2.5440000000000058</v>
      </c>
    </row>
    <row r="167" spans="2:27">
      <c r="B167">
        <f t="shared" si="43"/>
        <v>229</v>
      </c>
      <c r="C167">
        <f t="shared" si="40"/>
        <v>2.4420000000000064</v>
      </c>
      <c r="E167">
        <f t="shared" si="44"/>
        <v>229</v>
      </c>
      <c r="F167">
        <v>2.5</v>
      </c>
      <c r="H167">
        <f t="shared" si="45"/>
        <v>229</v>
      </c>
      <c r="I167">
        <f t="shared" si="41"/>
        <v>2.1196999999999959</v>
      </c>
      <c r="K167">
        <f t="shared" si="46"/>
        <v>229</v>
      </c>
      <c r="L167">
        <v>2.4</v>
      </c>
      <c r="N167">
        <f t="shared" si="47"/>
        <v>229</v>
      </c>
      <c r="O167">
        <v>2.4</v>
      </c>
      <c r="Q167">
        <f t="shared" si="48"/>
        <v>229</v>
      </c>
      <c r="R167">
        <v>1.8</v>
      </c>
      <c r="T167">
        <f t="shared" si="49"/>
        <v>229</v>
      </c>
      <c r="U167">
        <v>2.1</v>
      </c>
      <c r="W167">
        <f t="shared" si="50"/>
        <v>229</v>
      </c>
      <c r="X167">
        <v>2.8</v>
      </c>
      <c r="Z167">
        <f t="shared" si="51"/>
        <v>229</v>
      </c>
      <c r="AA167">
        <f t="shared" si="42"/>
        <v>2.542000000000006</v>
      </c>
    </row>
    <row r="168" spans="2:27">
      <c r="B168">
        <f t="shared" si="43"/>
        <v>230</v>
      </c>
      <c r="C168">
        <f t="shared" si="40"/>
        <v>2.4400000000000066</v>
      </c>
      <c r="E168">
        <f t="shared" si="44"/>
        <v>230</v>
      </c>
      <c r="F168">
        <v>2.5</v>
      </c>
      <c r="H168">
        <f t="shared" si="45"/>
        <v>230</v>
      </c>
      <c r="I168">
        <f t="shared" si="41"/>
        <v>2.1189999999999958</v>
      </c>
      <c r="K168">
        <f t="shared" si="46"/>
        <v>230</v>
      </c>
      <c r="L168">
        <v>2.4</v>
      </c>
      <c r="N168">
        <f t="shared" si="47"/>
        <v>230</v>
      </c>
      <c r="O168">
        <v>2.4</v>
      </c>
      <c r="Q168">
        <f t="shared" si="48"/>
        <v>230</v>
      </c>
      <c r="R168">
        <v>1.8</v>
      </c>
      <c r="T168">
        <f t="shared" si="49"/>
        <v>230</v>
      </c>
      <c r="U168">
        <v>2.1</v>
      </c>
      <c r="W168">
        <f t="shared" si="50"/>
        <v>230</v>
      </c>
      <c r="X168">
        <v>2.8</v>
      </c>
      <c r="Z168">
        <f t="shared" si="51"/>
        <v>230</v>
      </c>
      <c r="AA168">
        <f t="shared" si="42"/>
        <v>2.5400000000000063</v>
      </c>
    </row>
    <row r="169" spans="2:27">
      <c r="B169">
        <f t="shared" si="43"/>
        <v>231</v>
      </c>
      <c r="C169">
        <f t="shared" si="40"/>
        <v>2.4380000000000068</v>
      </c>
      <c r="E169">
        <f t="shared" si="44"/>
        <v>231</v>
      </c>
      <c r="F169">
        <v>2.5</v>
      </c>
      <c r="H169">
        <f t="shared" si="45"/>
        <v>231</v>
      </c>
      <c r="I169">
        <f t="shared" si="41"/>
        <v>2.1182999999999956</v>
      </c>
      <c r="K169">
        <f t="shared" si="46"/>
        <v>231</v>
      </c>
      <c r="L169">
        <v>2.4</v>
      </c>
      <c r="N169">
        <f t="shared" si="47"/>
        <v>231</v>
      </c>
      <c r="O169">
        <v>2.4</v>
      </c>
      <c r="Q169">
        <f t="shared" si="48"/>
        <v>231</v>
      </c>
      <c r="R169">
        <v>1.8</v>
      </c>
      <c r="T169">
        <f t="shared" si="49"/>
        <v>231</v>
      </c>
      <c r="U169">
        <v>2.1</v>
      </c>
      <c r="W169">
        <f t="shared" si="50"/>
        <v>231</v>
      </c>
      <c r="X169">
        <v>2.8</v>
      </c>
      <c r="Z169">
        <f t="shared" si="51"/>
        <v>231</v>
      </c>
      <c r="AA169">
        <f t="shared" si="42"/>
        <v>2.5380000000000065</v>
      </c>
    </row>
    <row r="170" spans="2:27">
      <c r="B170">
        <f t="shared" si="43"/>
        <v>232</v>
      </c>
      <c r="C170">
        <f t="shared" si="40"/>
        <v>2.436000000000007</v>
      </c>
      <c r="E170">
        <f t="shared" si="44"/>
        <v>232</v>
      </c>
      <c r="F170">
        <v>2.5</v>
      </c>
      <c r="H170">
        <f t="shared" si="45"/>
        <v>232</v>
      </c>
      <c r="I170">
        <f t="shared" si="41"/>
        <v>2.1175999999999955</v>
      </c>
      <c r="K170">
        <f t="shared" si="46"/>
        <v>232</v>
      </c>
      <c r="L170">
        <v>2.4</v>
      </c>
      <c r="N170">
        <f t="shared" si="47"/>
        <v>232</v>
      </c>
      <c r="O170">
        <v>2.4</v>
      </c>
      <c r="Q170">
        <f t="shared" si="48"/>
        <v>232</v>
      </c>
      <c r="R170">
        <v>1.8</v>
      </c>
      <c r="T170">
        <f t="shared" si="49"/>
        <v>232</v>
      </c>
      <c r="U170">
        <v>2.1</v>
      </c>
      <c r="W170">
        <f t="shared" si="50"/>
        <v>232</v>
      </c>
      <c r="X170">
        <v>2.8</v>
      </c>
      <c r="Z170">
        <f t="shared" si="51"/>
        <v>232</v>
      </c>
      <c r="AA170">
        <f t="shared" si="42"/>
        <v>2.5360000000000067</v>
      </c>
    </row>
    <row r="171" spans="2:27">
      <c r="B171">
        <f t="shared" si="43"/>
        <v>233</v>
      </c>
      <c r="C171">
        <f t="shared" si="40"/>
        <v>2.4340000000000073</v>
      </c>
      <c r="E171">
        <f t="shared" si="44"/>
        <v>233</v>
      </c>
      <c r="F171">
        <v>2.5</v>
      </c>
      <c r="H171">
        <f t="shared" si="45"/>
        <v>233</v>
      </c>
      <c r="I171">
        <f t="shared" si="41"/>
        <v>2.1168999999999953</v>
      </c>
      <c r="K171">
        <f t="shared" si="46"/>
        <v>233</v>
      </c>
      <c r="L171">
        <v>2.4</v>
      </c>
      <c r="N171">
        <f t="shared" si="47"/>
        <v>233</v>
      </c>
      <c r="O171">
        <v>2.4</v>
      </c>
      <c r="Q171">
        <f t="shared" si="48"/>
        <v>233</v>
      </c>
      <c r="R171">
        <v>1.8</v>
      </c>
      <c r="T171">
        <f t="shared" si="49"/>
        <v>233</v>
      </c>
      <c r="U171">
        <v>2.1</v>
      </c>
      <c r="W171">
        <f t="shared" si="50"/>
        <v>233</v>
      </c>
      <c r="X171">
        <v>2.8</v>
      </c>
      <c r="Z171">
        <f t="shared" si="51"/>
        <v>233</v>
      </c>
      <c r="AA171">
        <f t="shared" si="42"/>
        <v>2.5340000000000069</v>
      </c>
    </row>
    <row r="172" spans="2:27">
      <c r="B172">
        <f t="shared" si="43"/>
        <v>234</v>
      </c>
      <c r="C172">
        <f t="shared" si="40"/>
        <v>2.4320000000000075</v>
      </c>
      <c r="E172">
        <f t="shared" si="44"/>
        <v>234</v>
      </c>
      <c r="F172">
        <v>2.5</v>
      </c>
      <c r="H172">
        <f t="shared" si="45"/>
        <v>234</v>
      </c>
      <c r="I172">
        <f t="shared" si="41"/>
        <v>2.1161999999999952</v>
      </c>
      <c r="K172">
        <f t="shared" si="46"/>
        <v>234</v>
      </c>
      <c r="L172">
        <v>2.4</v>
      </c>
      <c r="N172">
        <f t="shared" si="47"/>
        <v>234</v>
      </c>
      <c r="O172">
        <v>2.4</v>
      </c>
      <c r="Q172">
        <f t="shared" si="48"/>
        <v>234</v>
      </c>
      <c r="R172">
        <v>1.8</v>
      </c>
      <c r="T172">
        <f t="shared" si="49"/>
        <v>234</v>
      </c>
      <c r="U172">
        <v>2.1</v>
      </c>
      <c r="W172">
        <f t="shared" si="50"/>
        <v>234</v>
      </c>
      <c r="X172">
        <v>2.8</v>
      </c>
      <c r="Z172">
        <f t="shared" si="51"/>
        <v>234</v>
      </c>
      <c r="AA172">
        <f t="shared" si="42"/>
        <v>2.5320000000000071</v>
      </c>
    </row>
    <row r="173" spans="2:27">
      <c r="B173">
        <f t="shared" si="43"/>
        <v>235</v>
      </c>
      <c r="C173">
        <f t="shared" si="40"/>
        <v>2.4300000000000077</v>
      </c>
      <c r="E173">
        <f t="shared" si="44"/>
        <v>235</v>
      </c>
      <c r="F173">
        <v>2.5</v>
      </c>
      <c r="H173">
        <f t="shared" si="45"/>
        <v>235</v>
      </c>
      <c r="I173">
        <f t="shared" si="41"/>
        <v>2.1154999999999951</v>
      </c>
      <c r="K173">
        <f t="shared" si="46"/>
        <v>235</v>
      </c>
      <c r="L173">
        <v>2.4</v>
      </c>
      <c r="N173">
        <f t="shared" si="47"/>
        <v>235</v>
      </c>
      <c r="O173">
        <v>2.4</v>
      </c>
      <c r="Q173">
        <f t="shared" si="48"/>
        <v>235</v>
      </c>
      <c r="R173">
        <v>1.8</v>
      </c>
      <c r="T173">
        <f t="shared" si="49"/>
        <v>235</v>
      </c>
      <c r="U173">
        <v>2.1</v>
      </c>
      <c r="W173">
        <f t="shared" si="50"/>
        <v>235</v>
      </c>
      <c r="X173">
        <v>2.8</v>
      </c>
      <c r="Z173">
        <f t="shared" si="51"/>
        <v>235</v>
      </c>
      <c r="AA173">
        <f t="shared" si="42"/>
        <v>2.5300000000000074</v>
      </c>
    </row>
    <row r="174" spans="2:27">
      <c r="B174">
        <f t="shared" si="43"/>
        <v>236</v>
      </c>
      <c r="C174">
        <f t="shared" si="40"/>
        <v>2.4280000000000079</v>
      </c>
      <c r="E174">
        <f t="shared" si="44"/>
        <v>236</v>
      </c>
      <c r="F174">
        <v>2.5</v>
      </c>
      <c r="H174">
        <f t="shared" si="45"/>
        <v>236</v>
      </c>
      <c r="I174">
        <f t="shared" si="41"/>
        <v>2.1147999999999949</v>
      </c>
      <c r="K174">
        <f t="shared" si="46"/>
        <v>236</v>
      </c>
      <c r="L174">
        <v>2.4</v>
      </c>
      <c r="N174">
        <f t="shared" si="47"/>
        <v>236</v>
      </c>
      <c r="O174">
        <v>2.4</v>
      </c>
      <c r="Q174">
        <f t="shared" si="48"/>
        <v>236</v>
      </c>
      <c r="R174">
        <v>1.8</v>
      </c>
      <c r="T174">
        <f t="shared" si="49"/>
        <v>236</v>
      </c>
      <c r="U174">
        <v>2.1</v>
      </c>
      <c r="W174">
        <f t="shared" si="50"/>
        <v>236</v>
      </c>
      <c r="X174">
        <v>2.8</v>
      </c>
      <c r="Z174">
        <f t="shared" si="51"/>
        <v>236</v>
      </c>
      <c r="AA174">
        <f t="shared" si="42"/>
        <v>2.5280000000000076</v>
      </c>
    </row>
    <row r="175" spans="2:27">
      <c r="B175">
        <f t="shared" si="43"/>
        <v>237</v>
      </c>
      <c r="C175">
        <f t="shared" si="40"/>
        <v>2.4260000000000081</v>
      </c>
      <c r="E175">
        <f t="shared" si="44"/>
        <v>237</v>
      </c>
      <c r="F175">
        <v>2.5</v>
      </c>
      <c r="H175">
        <f t="shared" si="45"/>
        <v>237</v>
      </c>
      <c r="I175">
        <f t="shared" si="41"/>
        <v>2.1140999999999948</v>
      </c>
      <c r="K175">
        <f t="shared" si="46"/>
        <v>237</v>
      </c>
      <c r="L175">
        <v>2.4</v>
      </c>
      <c r="N175">
        <f t="shared" si="47"/>
        <v>237</v>
      </c>
      <c r="O175">
        <v>2.4</v>
      </c>
      <c r="Q175">
        <f t="shared" si="48"/>
        <v>237</v>
      </c>
      <c r="R175">
        <v>1.8</v>
      </c>
      <c r="T175">
        <f t="shared" si="49"/>
        <v>237</v>
      </c>
      <c r="U175">
        <v>2.1</v>
      </c>
      <c r="W175">
        <f t="shared" si="50"/>
        <v>237</v>
      </c>
      <c r="X175">
        <v>2.8</v>
      </c>
      <c r="Z175">
        <f t="shared" si="51"/>
        <v>237</v>
      </c>
      <c r="AA175">
        <f t="shared" si="42"/>
        <v>2.5260000000000078</v>
      </c>
    </row>
    <row r="176" spans="2:27">
      <c r="B176">
        <f t="shared" si="43"/>
        <v>238</v>
      </c>
      <c r="C176">
        <f t="shared" si="40"/>
        <v>2.4240000000000084</v>
      </c>
      <c r="E176">
        <f t="shared" si="44"/>
        <v>238</v>
      </c>
      <c r="F176">
        <v>2.5</v>
      </c>
      <c r="H176">
        <f t="shared" si="45"/>
        <v>238</v>
      </c>
      <c r="I176">
        <f t="shared" si="41"/>
        <v>2.1133999999999946</v>
      </c>
      <c r="K176">
        <f t="shared" si="46"/>
        <v>238</v>
      </c>
      <c r="L176">
        <v>2.4</v>
      </c>
      <c r="N176">
        <f t="shared" si="47"/>
        <v>238</v>
      </c>
      <c r="O176">
        <v>2.4</v>
      </c>
      <c r="Q176">
        <f t="shared" si="48"/>
        <v>238</v>
      </c>
      <c r="R176">
        <v>1.8</v>
      </c>
      <c r="T176">
        <f t="shared" si="49"/>
        <v>238</v>
      </c>
      <c r="U176">
        <v>2.1</v>
      </c>
      <c r="W176">
        <f t="shared" si="50"/>
        <v>238</v>
      </c>
      <c r="X176">
        <v>2.8</v>
      </c>
      <c r="Z176">
        <f t="shared" si="51"/>
        <v>238</v>
      </c>
      <c r="AA176">
        <f t="shared" si="42"/>
        <v>2.524000000000008</v>
      </c>
    </row>
    <row r="177" spans="2:27">
      <c r="B177">
        <f t="shared" si="43"/>
        <v>239</v>
      </c>
      <c r="C177">
        <f t="shared" si="40"/>
        <v>2.4220000000000086</v>
      </c>
      <c r="E177">
        <f t="shared" si="44"/>
        <v>239</v>
      </c>
      <c r="F177">
        <v>2.5</v>
      </c>
      <c r="H177">
        <f t="shared" si="45"/>
        <v>239</v>
      </c>
      <c r="I177">
        <f t="shared" si="41"/>
        <v>2.1126999999999945</v>
      </c>
      <c r="K177">
        <f t="shared" si="46"/>
        <v>239</v>
      </c>
      <c r="L177">
        <v>2.4</v>
      </c>
      <c r="N177">
        <f t="shared" si="47"/>
        <v>239</v>
      </c>
      <c r="O177">
        <v>2.4</v>
      </c>
      <c r="Q177">
        <f t="shared" si="48"/>
        <v>239</v>
      </c>
      <c r="R177">
        <v>1.8</v>
      </c>
      <c r="T177">
        <f t="shared" si="49"/>
        <v>239</v>
      </c>
      <c r="U177">
        <v>2.1</v>
      </c>
      <c r="W177">
        <f t="shared" si="50"/>
        <v>239</v>
      </c>
      <c r="X177">
        <v>2.8</v>
      </c>
      <c r="Z177">
        <f t="shared" si="51"/>
        <v>239</v>
      </c>
      <c r="AA177">
        <f t="shared" si="42"/>
        <v>2.5220000000000082</v>
      </c>
    </row>
    <row r="178" spans="2:27">
      <c r="B178">
        <f t="shared" si="43"/>
        <v>240</v>
      </c>
      <c r="C178">
        <f t="shared" si="40"/>
        <v>2.4200000000000088</v>
      </c>
      <c r="E178">
        <f t="shared" si="44"/>
        <v>240</v>
      </c>
      <c r="F178">
        <v>2.5</v>
      </c>
      <c r="H178">
        <f t="shared" si="45"/>
        <v>240</v>
      </c>
      <c r="I178">
        <f t="shared" si="41"/>
        <v>2.1119999999999943</v>
      </c>
      <c r="K178">
        <f t="shared" si="46"/>
        <v>240</v>
      </c>
      <c r="L178">
        <v>2.4</v>
      </c>
      <c r="N178">
        <f t="shared" si="47"/>
        <v>240</v>
      </c>
      <c r="O178">
        <v>2.4</v>
      </c>
      <c r="Q178">
        <f t="shared" si="48"/>
        <v>240</v>
      </c>
      <c r="R178">
        <v>1.8</v>
      </c>
      <c r="T178">
        <f t="shared" si="49"/>
        <v>240</v>
      </c>
      <c r="U178">
        <v>2.1</v>
      </c>
      <c r="W178">
        <f t="shared" si="50"/>
        <v>240</v>
      </c>
      <c r="X178">
        <v>2.8</v>
      </c>
      <c r="Z178">
        <f t="shared" si="51"/>
        <v>240</v>
      </c>
      <c r="AA178">
        <f t="shared" si="42"/>
        <v>2.5200000000000085</v>
      </c>
    </row>
    <row r="179" spans="2:27">
      <c r="B179">
        <f t="shared" si="43"/>
        <v>241</v>
      </c>
      <c r="C179">
        <f t="shared" si="40"/>
        <v>2.418000000000009</v>
      </c>
      <c r="E179">
        <f t="shared" si="44"/>
        <v>241</v>
      </c>
      <c r="F179">
        <v>2.5</v>
      </c>
      <c r="H179">
        <f t="shared" si="45"/>
        <v>241</v>
      </c>
      <c r="I179">
        <f t="shared" si="41"/>
        <v>2.1112999999999942</v>
      </c>
      <c r="K179">
        <f t="shared" si="46"/>
        <v>241</v>
      </c>
      <c r="L179">
        <v>2.4</v>
      </c>
      <c r="N179">
        <f t="shared" si="47"/>
        <v>241</v>
      </c>
      <c r="O179">
        <v>2.4</v>
      </c>
      <c r="Q179">
        <f t="shared" si="48"/>
        <v>241</v>
      </c>
      <c r="R179">
        <v>1.8</v>
      </c>
      <c r="T179">
        <f t="shared" si="49"/>
        <v>241</v>
      </c>
      <c r="U179">
        <v>2.1</v>
      </c>
      <c r="W179">
        <f t="shared" si="50"/>
        <v>241</v>
      </c>
      <c r="X179">
        <v>2.8</v>
      </c>
      <c r="Z179">
        <f t="shared" si="51"/>
        <v>241</v>
      </c>
      <c r="AA179">
        <f t="shared" si="42"/>
        <v>2.5180000000000087</v>
      </c>
    </row>
    <row r="180" spans="2:27">
      <c r="B180">
        <f t="shared" si="43"/>
        <v>242</v>
      </c>
      <c r="C180">
        <f t="shared" si="40"/>
        <v>2.4160000000000093</v>
      </c>
      <c r="E180">
        <f t="shared" si="44"/>
        <v>242</v>
      </c>
      <c r="F180">
        <v>2.5</v>
      </c>
      <c r="H180">
        <f t="shared" si="45"/>
        <v>242</v>
      </c>
      <c r="I180">
        <f t="shared" si="41"/>
        <v>2.110599999999994</v>
      </c>
      <c r="K180">
        <f t="shared" si="46"/>
        <v>242</v>
      </c>
      <c r="L180">
        <v>2.4</v>
      </c>
      <c r="N180">
        <f t="shared" si="47"/>
        <v>242</v>
      </c>
      <c r="O180">
        <v>2.4</v>
      </c>
      <c r="Q180">
        <f t="shared" si="48"/>
        <v>242</v>
      </c>
      <c r="R180">
        <v>1.8</v>
      </c>
      <c r="T180">
        <f t="shared" si="49"/>
        <v>242</v>
      </c>
      <c r="U180">
        <v>2.1</v>
      </c>
      <c r="W180">
        <f t="shared" si="50"/>
        <v>242</v>
      </c>
      <c r="X180">
        <v>2.8</v>
      </c>
      <c r="Z180">
        <f t="shared" si="51"/>
        <v>242</v>
      </c>
      <c r="AA180">
        <f t="shared" si="42"/>
        <v>2.5160000000000089</v>
      </c>
    </row>
    <row r="181" spans="2:27">
      <c r="B181">
        <f t="shared" si="43"/>
        <v>243</v>
      </c>
      <c r="C181">
        <f t="shared" si="40"/>
        <v>2.4140000000000095</v>
      </c>
      <c r="E181">
        <f t="shared" si="44"/>
        <v>243</v>
      </c>
      <c r="F181">
        <v>2.5</v>
      </c>
      <c r="H181">
        <f t="shared" si="45"/>
        <v>243</v>
      </c>
      <c r="I181">
        <f t="shared" si="41"/>
        <v>2.1098999999999939</v>
      </c>
      <c r="K181">
        <f t="shared" si="46"/>
        <v>243</v>
      </c>
      <c r="L181">
        <v>2.4</v>
      </c>
      <c r="N181">
        <f t="shared" si="47"/>
        <v>243</v>
      </c>
      <c r="O181">
        <v>2.4</v>
      </c>
      <c r="Q181">
        <f t="shared" si="48"/>
        <v>243</v>
      </c>
      <c r="R181">
        <v>1.8</v>
      </c>
      <c r="T181">
        <f t="shared" si="49"/>
        <v>243</v>
      </c>
      <c r="U181">
        <v>2.1</v>
      </c>
      <c r="W181">
        <f t="shared" si="50"/>
        <v>243</v>
      </c>
      <c r="X181">
        <v>2.8</v>
      </c>
      <c r="Z181">
        <f t="shared" si="51"/>
        <v>243</v>
      </c>
      <c r="AA181">
        <f t="shared" si="42"/>
        <v>2.5140000000000091</v>
      </c>
    </row>
    <row r="182" spans="2:27">
      <c r="B182">
        <f t="shared" si="43"/>
        <v>244</v>
      </c>
      <c r="C182">
        <f t="shared" si="40"/>
        <v>2.4120000000000097</v>
      </c>
      <c r="E182">
        <f t="shared" si="44"/>
        <v>244</v>
      </c>
      <c r="F182">
        <v>2.5</v>
      </c>
      <c r="H182">
        <f t="shared" si="45"/>
        <v>244</v>
      </c>
      <c r="I182">
        <f t="shared" si="41"/>
        <v>2.1091999999999937</v>
      </c>
      <c r="K182">
        <f t="shared" si="46"/>
        <v>244</v>
      </c>
      <c r="L182">
        <v>2.4</v>
      </c>
      <c r="N182">
        <f t="shared" si="47"/>
        <v>244</v>
      </c>
      <c r="O182">
        <v>2.4</v>
      </c>
      <c r="Q182">
        <f t="shared" si="48"/>
        <v>244</v>
      </c>
      <c r="R182">
        <v>1.8</v>
      </c>
      <c r="T182">
        <f t="shared" si="49"/>
        <v>244</v>
      </c>
      <c r="U182">
        <v>2.1</v>
      </c>
      <c r="W182">
        <f t="shared" si="50"/>
        <v>244</v>
      </c>
      <c r="X182">
        <v>2.8</v>
      </c>
      <c r="Z182">
        <f t="shared" si="51"/>
        <v>244</v>
      </c>
      <c r="AA182">
        <f t="shared" si="42"/>
        <v>2.5120000000000093</v>
      </c>
    </row>
    <row r="183" spans="2:27">
      <c r="B183">
        <f t="shared" si="43"/>
        <v>245</v>
      </c>
      <c r="C183">
        <f t="shared" si="40"/>
        <v>2.4100000000000099</v>
      </c>
      <c r="E183">
        <f t="shared" si="44"/>
        <v>245</v>
      </c>
      <c r="F183">
        <v>2.5</v>
      </c>
      <c r="H183">
        <f t="shared" si="45"/>
        <v>245</v>
      </c>
      <c r="I183">
        <f t="shared" si="41"/>
        <v>2.1084999999999936</v>
      </c>
      <c r="K183">
        <f t="shared" si="46"/>
        <v>245</v>
      </c>
      <c r="L183">
        <v>2.4</v>
      </c>
      <c r="N183">
        <f t="shared" si="47"/>
        <v>245</v>
      </c>
      <c r="O183">
        <v>2.4</v>
      </c>
      <c r="Q183">
        <f t="shared" si="48"/>
        <v>245</v>
      </c>
      <c r="R183">
        <v>1.8</v>
      </c>
      <c r="T183">
        <f t="shared" si="49"/>
        <v>245</v>
      </c>
      <c r="U183">
        <v>2.1</v>
      </c>
      <c r="W183">
        <f t="shared" si="50"/>
        <v>245</v>
      </c>
      <c r="X183">
        <v>2.8</v>
      </c>
      <c r="Z183">
        <f t="shared" si="51"/>
        <v>245</v>
      </c>
      <c r="AA183">
        <f t="shared" si="42"/>
        <v>2.5100000000000096</v>
      </c>
    </row>
    <row r="184" spans="2:27">
      <c r="B184">
        <f t="shared" si="43"/>
        <v>246</v>
      </c>
      <c r="C184">
        <f t="shared" si="40"/>
        <v>2.4080000000000101</v>
      </c>
      <c r="E184">
        <f t="shared" si="44"/>
        <v>246</v>
      </c>
      <c r="F184">
        <v>2.5</v>
      </c>
      <c r="H184">
        <f t="shared" si="45"/>
        <v>246</v>
      </c>
      <c r="I184">
        <f t="shared" si="41"/>
        <v>2.1077999999999935</v>
      </c>
      <c r="K184">
        <f t="shared" si="46"/>
        <v>246</v>
      </c>
      <c r="L184">
        <v>2.4</v>
      </c>
      <c r="N184">
        <f t="shared" si="47"/>
        <v>246</v>
      </c>
      <c r="O184">
        <v>2.4</v>
      </c>
      <c r="Q184">
        <f t="shared" si="48"/>
        <v>246</v>
      </c>
      <c r="R184">
        <v>1.8</v>
      </c>
      <c r="T184">
        <f t="shared" si="49"/>
        <v>246</v>
      </c>
      <c r="U184">
        <v>2.1</v>
      </c>
      <c r="W184">
        <f t="shared" si="50"/>
        <v>246</v>
      </c>
      <c r="X184">
        <v>2.8</v>
      </c>
      <c r="Z184">
        <f t="shared" si="51"/>
        <v>246</v>
      </c>
      <c r="AA184">
        <f t="shared" si="42"/>
        <v>2.5080000000000098</v>
      </c>
    </row>
    <row r="185" spans="2:27">
      <c r="B185">
        <f t="shared" si="43"/>
        <v>247</v>
      </c>
      <c r="C185">
        <f t="shared" si="40"/>
        <v>2.4060000000000104</v>
      </c>
      <c r="E185">
        <f t="shared" si="44"/>
        <v>247</v>
      </c>
      <c r="F185">
        <v>2.5</v>
      </c>
      <c r="H185">
        <f t="shared" si="45"/>
        <v>247</v>
      </c>
      <c r="I185">
        <f t="shared" si="41"/>
        <v>2.1070999999999933</v>
      </c>
      <c r="K185">
        <f t="shared" si="46"/>
        <v>247</v>
      </c>
      <c r="L185">
        <v>2.4</v>
      </c>
      <c r="N185">
        <f t="shared" si="47"/>
        <v>247</v>
      </c>
      <c r="O185">
        <v>2.4</v>
      </c>
      <c r="Q185">
        <f t="shared" si="48"/>
        <v>247</v>
      </c>
      <c r="R185">
        <v>1.8</v>
      </c>
      <c r="T185">
        <f t="shared" si="49"/>
        <v>247</v>
      </c>
      <c r="U185">
        <v>2.1</v>
      </c>
      <c r="W185">
        <f t="shared" si="50"/>
        <v>247</v>
      </c>
      <c r="X185">
        <v>2.8</v>
      </c>
      <c r="Z185">
        <f t="shared" si="51"/>
        <v>247</v>
      </c>
      <c r="AA185">
        <f t="shared" si="42"/>
        <v>2.50600000000001</v>
      </c>
    </row>
    <row r="186" spans="2:27">
      <c r="B186">
        <f t="shared" si="43"/>
        <v>248</v>
      </c>
      <c r="C186">
        <f t="shared" si="40"/>
        <v>2.4040000000000106</v>
      </c>
      <c r="E186">
        <f t="shared" si="44"/>
        <v>248</v>
      </c>
      <c r="F186">
        <v>2.5</v>
      </c>
      <c r="H186">
        <f t="shared" si="45"/>
        <v>248</v>
      </c>
      <c r="I186">
        <f t="shared" si="41"/>
        <v>2.1063999999999932</v>
      </c>
      <c r="K186">
        <f t="shared" si="46"/>
        <v>248</v>
      </c>
      <c r="L186">
        <v>2.4</v>
      </c>
      <c r="N186">
        <f t="shared" si="47"/>
        <v>248</v>
      </c>
      <c r="O186">
        <v>2.4</v>
      </c>
      <c r="Q186">
        <f t="shared" si="48"/>
        <v>248</v>
      </c>
      <c r="R186">
        <v>1.8</v>
      </c>
      <c r="T186">
        <f t="shared" si="49"/>
        <v>248</v>
      </c>
      <c r="U186">
        <v>2.1</v>
      </c>
      <c r="W186">
        <f t="shared" si="50"/>
        <v>248</v>
      </c>
      <c r="X186">
        <v>2.8</v>
      </c>
      <c r="Z186">
        <f t="shared" si="51"/>
        <v>248</v>
      </c>
      <c r="AA186">
        <f t="shared" si="42"/>
        <v>2.5040000000000102</v>
      </c>
    </row>
    <row r="187" spans="2:27">
      <c r="B187">
        <f t="shared" si="43"/>
        <v>249</v>
      </c>
      <c r="C187">
        <f t="shared" si="40"/>
        <v>2.4020000000000108</v>
      </c>
      <c r="E187">
        <f t="shared" si="44"/>
        <v>249</v>
      </c>
      <c r="F187">
        <v>2.5</v>
      </c>
      <c r="H187">
        <f t="shared" si="45"/>
        <v>249</v>
      </c>
      <c r="I187">
        <f t="shared" si="41"/>
        <v>2.105699999999993</v>
      </c>
      <c r="K187">
        <f t="shared" si="46"/>
        <v>249</v>
      </c>
      <c r="L187">
        <v>2.4</v>
      </c>
      <c r="N187">
        <f t="shared" si="47"/>
        <v>249</v>
      </c>
      <c r="O187">
        <v>2.4</v>
      </c>
      <c r="Q187">
        <f t="shared" si="48"/>
        <v>249</v>
      </c>
      <c r="R187">
        <v>1.8</v>
      </c>
      <c r="T187">
        <f t="shared" si="49"/>
        <v>249</v>
      </c>
      <c r="U187">
        <v>2.1</v>
      </c>
      <c r="W187">
        <f t="shared" si="50"/>
        <v>249</v>
      </c>
      <c r="X187">
        <v>2.8</v>
      </c>
      <c r="Z187">
        <f t="shared" si="51"/>
        <v>249</v>
      </c>
      <c r="AA187">
        <f t="shared" si="42"/>
        <v>2.5020000000000104</v>
      </c>
    </row>
    <row r="188" spans="2:27">
      <c r="B188">
        <f t="shared" si="43"/>
        <v>250</v>
      </c>
      <c r="C188">
        <v>2.4</v>
      </c>
      <c r="E188">
        <f t="shared" si="44"/>
        <v>250</v>
      </c>
      <c r="F188">
        <v>2.5</v>
      </c>
      <c r="H188">
        <f t="shared" si="45"/>
        <v>250</v>
      </c>
      <c r="I188">
        <f t="shared" si="41"/>
        <v>2.1049999999999929</v>
      </c>
      <c r="K188">
        <f t="shared" si="46"/>
        <v>250</v>
      </c>
      <c r="L188">
        <v>2.4</v>
      </c>
      <c r="N188">
        <f t="shared" si="47"/>
        <v>250</v>
      </c>
      <c r="O188">
        <v>2.4</v>
      </c>
      <c r="Q188">
        <f t="shared" si="48"/>
        <v>250</v>
      </c>
      <c r="R188">
        <v>1.8</v>
      </c>
      <c r="T188">
        <f t="shared" si="49"/>
        <v>250</v>
      </c>
      <c r="U188">
        <v>2.1</v>
      </c>
      <c r="W188">
        <f t="shared" si="50"/>
        <v>250</v>
      </c>
      <c r="X188">
        <v>2.8</v>
      </c>
      <c r="Z188">
        <f t="shared" si="51"/>
        <v>250</v>
      </c>
      <c r="AA188">
        <v>2.5</v>
      </c>
    </row>
    <row r="189" spans="2:27">
      <c r="B189">
        <f t="shared" si="43"/>
        <v>251</v>
      </c>
      <c r="C189">
        <v>2.4</v>
      </c>
      <c r="E189">
        <f t="shared" si="44"/>
        <v>251</v>
      </c>
      <c r="F189">
        <f>F188-0.002</f>
        <v>2.4980000000000002</v>
      </c>
      <c r="H189">
        <f t="shared" si="45"/>
        <v>251</v>
      </c>
      <c r="I189">
        <f t="shared" si="41"/>
        <v>2.1042999999999927</v>
      </c>
      <c r="K189">
        <f t="shared" si="46"/>
        <v>251</v>
      </c>
      <c r="L189">
        <f>L188-0.002</f>
        <v>2.3980000000000001</v>
      </c>
      <c r="N189">
        <f t="shared" si="47"/>
        <v>251</v>
      </c>
      <c r="O189">
        <f>O188-0.002</f>
        <v>2.3980000000000001</v>
      </c>
      <c r="Q189">
        <f t="shared" si="48"/>
        <v>251</v>
      </c>
      <c r="R189">
        <f>R188-0.002</f>
        <v>1.798</v>
      </c>
      <c r="T189">
        <f t="shared" si="49"/>
        <v>251</v>
      </c>
      <c r="U189">
        <f>U188-0.002</f>
        <v>2.0980000000000003</v>
      </c>
      <c r="W189">
        <f t="shared" si="50"/>
        <v>251</v>
      </c>
      <c r="X189">
        <f>X188-0.002</f>
        <v>2.798</v>
      </c>
      <c r="Z189">
        <f t="shared" si="51"/>
        <v>251</v>
      </c>
      <c r="AA189">
        <f>AA188-0.002</f>
        <v>2.4980000000000002</v>
      </c>
    </row>
    <row r="190" spans="2:27">
      <c r="B190">
        <f t="shared" si="43"/>
        <v>252</v>
      </c>
      <c r="C190">
        <v>2.4</v>
      </c>
      <c r="E190">
        <f t="shared" si="44"/>
        <v>252</v>
      </c>
      <c r="F190">
        <f t="shared" ref="F190:F237" si="52">F189-0.002</f>
        <v>2.4960000000000004</v>
      </c>
      <c r="H190">
        <f t="shared" si="45"/>
        <v>252</v>
      </c>
      <c r="I190">
        <f t="shared" si="41"/>
        <v>2.1035999999999926</v>
      </c>
      <c r="K190">
        <f t="shared" si="46"/>
        <v>252</v>
      </c>
      <c r="L190">
        <f t="shared" ref="L190:L237" si="53">L189-0.002</f>
        <v>2.3960000000000004</v>
      </c>
      <c r="N190">
        <f t="shared" si="47"/>
        <v>252</v>
      </c>
      <c r="O190">
        <f t="shared" ref="O190:O238" si="54">O189-0.002</f>
        <v>2.3960000000000004</v>
      </c>
      <c r="Q190">
        <f t="shared" si="48"/>
        <v>252</v>
      </c>
      <c r="R190">
        <f t="shared" ref="R190:R238" si="55">R189-0.002</f>
        <v>1.796</v>
      </c>
      <c r="T190">
        <f t="shared" si="49"/>
        <v>252</v>
      </c>
      <c r="U190">
        <f t="shared" ref="U190:U238" si="56">U189-0.002</f>
        <v>2.0960000000000005</v>
      </c>
      <c r="W190">
        <f t="shared" si="50"/>
        <v>252</v>
      </c>
      <c r="X190">
        <f t="shared" ref="X190:X238" si="57">X189-0.002</f>
        <v>2.7960000000000003</v>
      </c>
      <c r="Z190">
        <f t="shared" si="51"/>
        <v>252</v>
      </c>
      <c r="AA190">
        <f t="shared" ref="AA190:AA238" si="58">AA189-0.002</f>
        <v>2.4960000000000004</v>
      </c>
    </row>
    <row r="191" spans="2:27">
      <c r="B191">
        <f t="shared" si="43"/>
        <v>253</v>
      </c>
      <c r="C191">
        <v>2.4</v>
      </c>
      <c r="E191">
        <f t="shared" si="44"/>
        <v>253</v>
      </c>
      <c r="F191">
        <f t="shared" si="52"/>
        <v>2.4940000000000007</v>
      </c>
      <c r="H191">
        <f t="shared" si="45"/>
        <v>253</v>
      </c>
      <c r="I191">
        <f t="shared" si="41"/>
        <v>2.1028999999999924</v>
      </c>
      <c r="K191">
        <f t="shared" si="46"/>
        <v>253</v>
      </c>
      <c r="L191">
        <f t="shared" si="53"/>
        <v>2.3940000000000006</v>
      </c>
      <c r="N191">
        <f t="shared" si="47"/>
        <v>253</v>
      </c>
      <c r="O191">
        <f t="shared" si="54"/>
        <v>2.3940000000000006</v>
      </c>
      <c r="Q191">
        <f t="shared" si="48"/>
        <v>253</v>
      </c>
      <c r="R191">
        <f t="shared" si="55"/>
        <v>1.794</v>
      </c>
      <c r="T191">
        <f t="shared" si="49"/>
        <v>253</v>
      </c>
      <c r="U191">
        <f t="shared" si="56"/>
        <v>2.0940000000000007</v>
      </c>
      <c r="W191">
        <f t="shared" si="50"/>
        <v>253</v>
      </c>
      <c r="X191">
        <f t="shared" si="57"/>
        <v>2.7940000000000005</v>
      </c>
      <c r="Z191">
        <f t="shared" si="51"/>
        <v>253</v>
      </c>
      <c r="AA191">
        <f t="shared" si="58"/>
        <v>2.4940000000000007</v>
      </c>
    </row>
    <row r="192" spans="2:27">
      <c r="B192">
        <f t="shared" si="43"/>
        <v>254</v>
      </c>
      <c r="C192">
        <v>2.4</v>
      </c>
      <c r="E192">
        <f t="shared" si="44"/>
        <v>254</v>
      </c>
      <c r="F192">
        <f t="shared" si="52"/>
        <v>2.4920000000000009</v>
      </c>
      <c r="H192">
        <f t="shared" si="45"/>
        <v>254</v>
      </c>
      <c r="I192">
        <f t="shared" si="41"/>
        <v>2.1021999999999923</v>
      </c>
      <c r="K192">
        <f t="shared" si="46"/>
        <v>254</v>
      </c>
      <c r="L192">
        <f t="shared" si="53"/>
        <v>2.3920000000000008</v>
      </c>
      <c r="N192">
        <f t="shared" si="47"/>
        <v>254</v>
      </c>
      <c r="O192">
        <f t="shared" si="54"/>
        <v>2.3920000000000008</v>
      </c>
      <c r="Q192">
        <f t="shared" si="48"/>
        <v>254</v>
      </c>
      <c r="R192">
        <f t="shared" si="55"/>
        <v>1.792</v>
      </c>
      <c r="T192">
        <f t="shared" si="49"/>
        <v>254</v>
      </c>
      <c r="U192">
        <f t="shared" si="56"/>
        <v>2.092000000000001</v>
      </c>
      <c r="W192">
        <f t="shared" si="50"/>
        <v>254</v>
      </c>
      <c r="X192">
        <f t="shared" si="57"/>
        <v>2.7920000000000007</v>
      </c>
      <c r="Z192">
        <f t="shared" si="51"/>
        <v>254</v>
      </c>
      <c r="AA192">
        <f t="shared" si="58"/>
        <v>2.4920000000000009</v>
      </c>
    </row>
    <row r="193" spans="2:27">
      <c r="B193">
        <f t="shared" si="43"/>
        <v>255</v>
      </c>
      <c r="C193">
        <v>2.4</v>
      </c>
      <c r="E193">
        <f t="shared" si="44"/>
        <v>255</v>
      </c>
      <c r="F193">
        <f t="shared" si="52"/>
        <v>2.4900000000000011</v>
      </c>
      <c r="H193">
        <f t="shared" si="45"/>
        <v>255</v>
      </c>
      <c r="I193">
        <f t="shared" si="41"/>
        <v>2.1014999999999922</v>
      </c>
      <c r="K193">
        <f t="shared" si="46"/>
        <v>255</v>
      </c>
      <c r="L193">
        <f t="shared" si="53"/>
        <v>2.390000000000001</v>
      </c>
      <c r="N193">
        <f t="shared" si="47"/>
        <v>255</v>
      </c>
      <c r="O193">
        <f t="shared" si="54"/>
        <v>2.390000000000001</v>
      </c>
      <c r="Q193">
        <f t="shared" si="48"/>
        <v>255</v>
      </c>
      <c r="R193">
        <f t="shared" si="55"/>
        <v>1.79</v>
      </c>
      <c r="T193">
        <f t="shared" si="49"/>
        <v>255</v>
      </c>
      <c r="U193">
        <f t="shared" si="56"/>
        <v>2.0900000000000012</v>
      </c>
      <c r="W193">
        <f t="shared" si="50"/>
        <v>255</v>
      </c>
      <c r="X193">
        <f t="shared" si="57"/>
        <v>2.7900000000000009</v>
      </c>
      <c r="Z193">
        <f t="shared" si="51"/>
        <v>255</v>
      </c>
      <c r="AA193">
        <f t="shared" si="58"/>
        <v>2.4900000000000011</v>
      </c>
    </row>
    <row r="194" spans="2:27">
      <c r="B194">
        <f t="shared" si="43"/>
        <v>256</v>
      </c>
      <c r="C194">
        <v>2.4</v>
      </c>
      <c r="E194">
        <f t="shared" si="44"/>
        <v>256</v>
      </c>
      <c r="F194">
        <f t="shared" si="52"/>
        <v>2.4880000000000013</v>
      </c>
      <c r="H194">
        <f t="shared" si="45"/>
        <v>256</v>
      </c>
      <c r="I194">
        <f t="shared" si="41"/>
        <v>2.100799999999992</v>
      </c>
      <c r="K194">
        <f t="shared" si="46"/>
        <v>256</v>
      </c>
      <c r="L194">
        <f t="shared" si="53"/>
        <v>2.3880000000000012</v>
      </c>
      <c r="N194">
        <f t="shared" si="47"/>
        <v>256</v>
      </c>
      <c r="O194">
        <f t="shared" si="54"/>
        <v>2.3880000000000012</v>
      </c>
      <c r="Q194">
        <f t="shared" si="48"/>
        <v>256</v>
      </c>
      <c r="R194">
        <f t="shared" si="55"/>
        <v>1.788</v>
      </c>
      <c r="T194">
        <f t="shared" si="49"/>
        <v>256</v>
      </c>
      <c r="U194">
        <f t="shared" si="56"/>
        <v>2.0880000000000014</v>
      </c>
      <c r="W194">
        <f t="shared" si="50"/>
        <v>256</v>
      </c>
      <c r="X194">
        <f t="shared" si="57"/>
        <v>2.7880000000000011</v>
      </c>
      <c r="Z194">
        <f t="shared" si="51"/>
        <v>256</v>
      </c>
      <c r="AA194">
        <f t="shared" si="58"/>
        <v>2.4880000000000013</v>
      </c>
    </row>
    <row r="195" spans="2:27">
      <c r="B195">
        <f t="shared" si="43"/>
        <v>257</v>
      </c>
      <c r="C195">
        <v>2.4</v>
      </c>
      <c r="E195">
        <f t="shared" si="44"/>
        <v>257</v>
      </c>
      <c r="F195">
        <f t="shared" si="52"/>
        <v>2.4860000000000015</v>
      </c>
      <c r="H195">
        <f t="shared" si="45"/>
        <v>257</v>
      </c>
      <c r="I195">
        <f t="shared" si="41"/>
        <v>2.1000999999999919</v>
      </c>
      <c r="K195">
        <f t="shared" si="46"/>
        <v>257</v>
      </c>
      <c r="L195">
        <f t="shared" si="53"/>
        <v>2.3860000000000015</v>
      </c>
      <c r="N195">
        <f t="shared" si="47"/>
        <v>257</v>
      </c>
      <c r="O195">
        <f t="shared" si="54"/>
        <v>2.3860000000000015</v>
      </c>
      <c r="Q195">
        <f t="shared" si="48"/>
        <v>257</v>
      </c>
      <c r="R195">
        <f t="shared" si="55"/>
        <v>1.786</v>
      </c>
      <c r="T195">
        <f t="shared" si="49"/>
        <v>257</v>
      </c>
      <c r="U195">
        <f t="shared" si="56"/>
        <v>2.0860000000000016</v>
      </c>
      <c r="W195">
        <f t="shared" si="50"/>
        <v>257</v>
      </c>
      <c r="X195">
        <f t="shared" si="57"/>
        <v>2.7860000000000014</v>
      </c>
      <c r="Z195">
        <f t="shared" si="51"/>
        <v>257</v>
      </c>
      <c r="AA195">
        <f t="shared" si="58"/>
        <v>2.4860000000000015</v>
      </c>
    </row>
    <row r="196" spans="2:27">
      <c r="B196">
        <f t="shared" si="43"/>
        <v>258</v>
      </c>
      <c r="C196">
        <v>2.4</v>
      </c>
      <c r="E196">
        <f t="shared" si="44"/>
        <v>258</v>
      </c>
      <c r="F196">
        <f t="shared" si="52"/>
        <v>2.4840000000000018</v>
      </c>
      <c r="H196">
        <f t="shared" si="45"/>
        <v>258</v>
      </c>
      <c r="I196">
        <f t="shared" si="41"/>
        <v>2.0993999999999917</v>
      </c>
      <c r="K196">
        <f t="shared" si="46"/>
        <v>258</v>
      </c>
      <c r="L196">
        <f t="shared" si="53"/>
        <v>2.3840000000000017</v>
      </c>
      <c r="N196">
        <f t="shared" si="47"/>
        <v>258</v>
      </c>
      <c r="O196">
        <f t="shared" si="54"/>
        <v>2.3840000000000017</v>
      </c>
      <c r="Q196">
        <f t="shared" si="48"/>
        <v>258</v>
      </c>
      <c r="R196">
        <f t="shared" si="55"/>
        <v>1.784</v>
      </c>
      <c r="T196">
        <f t="shared" si="49"/>
        <v>258</v>
      </c>
      <c r="U196">
        <f t="shared" si="56"/>
        <v>2.0840000000000019</v>
      </c>
      <c r="W196">
        <f t="shared" si="50"/>
        <v>258</v>
      </c>
      <c r="X196">
        <f t="shared" si="57"/>
        <v>2.7840000000000016</v>
      </c>
      <c r="Z196">
        <f t="shared" si="51"/>
        <v>258</v>
      </c>
      <c r="AA196">
        <f t="shared" si="58"/>
        <v>2.4840000000000018</v>
      </c>
    </row>
    <row r="197" spans="2:27">
      <c r="B197">
        <f t="shared" si="43"/>
        <v>259</v>
      </c>
      <c r="C197">
        <v>2.4</v>
      </c>
      <c r="E197">
        <f t="shared" si="44"/>
        <v>259</v>
      </c>
      <c r="F197">
        <f t="shared" si="52"/>
        <v>2.482000000000002</v>
      </c>
      <c r="H197">
        <f t="shared" si="45"/>
        <v>259</v>
      </c>
      <c r="I197">
        <f t="shared" si="41"/>
        <v>2.0986999999999916</v>
      </c>
      <c r="K197">
        <f t="shared" si="46"/>
        <v>259</v>
      </c>
      <c r="L197">
        <f t="shared" si="53"/>
        <v>2.3820000000000019</v>
      </c>
      <c r="N197">
        <f t="shared" si="47"/>
        <v>259</v>
      </c>
      <c r="O197">
        <f t="shared" si="54"/>
        <v>2.3820000000000019</v>
      </c>
      <c r="Q197">
        <f t="shared" si="48"/>
        <v>259</v>
      </c>
      <c r="R197">
        <f t="shared" si="55"/>
        <v>1.782</v>
      </c>
      <c r="T197">
        <f t="shared" si="49"/>
        <v>259</v>
      </c>
      <c r="U197">
        <f t="shared" si="56"/>
        <v>2.0820000000000021</v>
      </c>
      <c r="W197">
        <f t="shared" si="50"/>
        <v>259</v>
      </c>
      <c r="X197">
        <f t="shared" si="57"/>
        <v>2.7820000000000018</v>
      </c>
      <c r="Z197">
        <f t="shared" si="51"/>
        <v>259</v>
      </c>
      <c r="AA197">
        <f t="shared" si="58"/>
        <v>2.482000000000002</v>
      </c>
    </row>
    <row r="198" spans="2:27">
      <c r="B198">
        <f t="shared" si="43"/>
        <v>260</v>
      </c>
      <c r="C198">
        <v>2.4</v>
      </c>
      <c r="E198">
        <f t="shared" si="44"/>
        <v>260</v>
      </c>
      <c r="F198">
        <f t="shared" si="52"/>
        <v>2.4800000000000022</v>
      </c>
      <c r="H198">
        <f t="shared" si="45"/>
        <v>260</v>
      </c>
      <c r="I198">
        <f t="shared" si="41"/>
        <v>2.0979999999999914</v>
      </c>
      <c r="K198">
        <f t="shared" si="46"/>
        <v>260</v>
      </c>
      <c r="L198">
        <f t="shared" si="53"/>
        <v>2.3800000000000021</v>
      </c>
      <c r="N198">
        <f t="shared" si="47"/>
        <v>260</v>
      </c>
      <c r="O198">
        <f t="shared" si="54"/>
        <v>2.3800000000000021</v>
      </c>
      <c r="Q198">
        <f t="shared" si="48"/>
        <v>260</v>
      </c>
      <c r="R198">
        <f t="shared" si="55"/>
        <v>1.78</v>
      </c>
      <c r="T198">
        <f t="shared" si="49"/>
        <v>260</v>
      </c>
      <c r="U198">
        <f t="shared" si="56"/>
        <v>2.0800000000000023</v>
      </c>
      <c r="W198">
        <f t="shared" si="50"/>
        <v>260</v>
      </c>
      <c r="X198">
        <f t="shared" si="57"/>
        <v>2.780000000000002</v>
      </c>
      <c r="Z198">
        <f t="shared" si="51"/>
        <v>260</v>
      </c>
      <c r="AA198">
        <f t="shared" si="58"/>
        <v>2.4800000000000022</v>
      </c>
    </row>
    <row r="199" spans="2:27">
      <c r="B199">
        <f t="shared" si="43"/>
        <v>261</v>
      </c>
      <c r="C199">
        <v>2.4</v>
      </c>
      <c r="E199">
        <f t="shared" si="44"/>
        <v>261</v>
      </c>
      <c r="F199">
        <f t="shared" si="52"/>
        <v>2.4780000000000024</v>
      </c>
      <c r="H199">
        <f t="shared" si="45"/>
        <v>261</v>
      </c>
      <c r="I199">
        <f t="shared" si="41"/>
        <v>2.0972999999999913</v>
      </c>
      <c r="K199">
        <f t="shared" si="46"/>
        <v>261</v>
      </c>
      <c r="L199">
        <f t="shared" si="53"/>
        <v>2.3780000000000023</v>
      </c>
      <c r="N199">
        <f t="shared" si="47"/>
        <v>261</v>
      </c>
      <c r="O199">
        <f t="shared" si="54"/>
        <v>2.3780000000000023</v>
      </c>
      <c r="Q199">
        <f t="shared" si="48"/>
        <v>261</v>
      </c>
      <c r="R199">
        <f t="shared" si="55"/>
        <v>1.778</v>
      </c>
      <c r="T199">
        <f t="shared" si="49"/>
        <v>261</v>
      </c>
      <c r="U199">
        <f t="shared" si="56"/>
        <v>2.0780000000000025</v>
      </c>
      <c r="W199">
        <f t="shared" si="50"/>
        <v>261</v>
      </c>
      <c r="X199">
        <f t="shared" si="57"/>
        <v>2.7780000000000022</v>
      </c>
      <c r="Z199">
        <f t="shared" si="51"/>
        <v>261</v>
      </c>
      <c r="AA199">
        <f t="shared" si="58"/>
        <v>2.4780000000000024</v>
      </c>
    </row>
    <row r="200" spans="2:27">
      <c r="B200">
        <f t="shared" si="43"/>
        <v>262</v>
      </c>
      <c r="C200">
        <v>2.4</v>
      </c>
      <c r="E200">
        <f t="shared" si="44"/>
        <v>262</v>
      </c>
      <c r="F200">
        <f t="shared" si="52"/>
        <v>2.4760000000000026</v>
      </c>
      <c r="H200">
        <f t="shared" si="45"/>
        <v>262</v>
      </c>
      <c r="I200">
        <f t="shared" si="41"/>
        <v>2.0965999999999911</v>
      </c>
      <c r="K200">
        <f t="shared" si="46"/>
        <v>262</v>
      </c>
      <c r="L200">
        <f t="shared" si="53"/>
        <v>2.3760000000000026</v>
      </c>
      <c r="N200">
        <f t="shared" si="47"/>
        <v>262</v>
      </c>
      <c r="O200">
        <f t="shared" si="54"/>
        <v>2.3760000000000026</v>
      </c>
      <c r="Q200">
        <f t="shared" si="48"/>
        <v>262</v>
      </c>
      <c r="R200">
        <f t="shared" si="55"/>
        <v>1.776</v>
      </c>
      <c r="T200">
        <f t="shared" si="49"/>
        <v>262</v>
      </c>
      <c r="U200">
        <f t="shared" si="56"/>
        <v>2.0760000000000027</v>
      </c>
      <c r="W200">
        <f t="shared" si="50"/>
        <v>262</v>
      </c>
      <c r="X200">
        <f t="shared" si="57"/>
        <v>2.7760000000000025</v>
      </c>
      <c r="Z200">
        <f t="shared" si="51"/>
        <v>262</v>
      </c>
      <c r="AA200">
        <f t="shared" si="58"/>
        <v>2.4760000000000026</v>
      </c>
    </row>
    <row r="201" spans="2:27">
      <c r="B201">
        <f t="shared" si="43"/>
        <v>263</v>
      </c>
      <c r="C201">
        <v>2.4</v>
      </c>
      <c r="E201">
        <f t="shared" si="44"/>
        <v>263</v>
      </c>
      <c r="F201">
        <f t="shared" si="52"/>
        <v>2.4740000000000029</v>
      </c>
      <c r="H201">
        <f t="shared" si="45"/>
        <v>263</v>
      </c>
      <c r="I201">
        <f t="shared" si="41"/>
        <v>2.095899999999991</v>
      </c>
      <c r="K201">
        <f t="shared" si="46"/>
        <v>263</v>
      </c>
      <c r="L201">
        <f t="shared" si="53"/>
        <v>2.3740000000000028</v>
      </c>
      <c r="N201">
        <f t="shared" si="47"/>
        <v>263</v>
      </c>
      <c r="O201">
        <f t="shared" si="54"/>
        <v>2.3740000000000028</v>
      </c>
      <c r="Q201">
        <f t="shared" si="48"/>
        <v>263</v>
      </c>
      <c r="R201">
        <f t="shared" si="55"/>
        <v>1.774</v>
      </c>
      <c r="T201">
        <f t="shared" si="49"/>
        <v>263</v>
      </c>
      <c r="U201">
        <f t="shared" si="56"/>
        <v>2.074000000000003</v>
      </c>
      <c r="W201">
        <f t="shared" si="50"/>
        <v>263</v>
      </c>
      <c r="X201">
        <f t="shared" si="57"/>
        <v>2.7740000000000027</v>
      </c>
      <c r="Z201">
        <f t="shared" si="51"/>
        <v>263</v>
      </c>
      <c r="AA201">
        <f t="shared" si="58"/>
        <v>2.4740000000000029</v>
      </c>
    </row>
    <row r="202" spans="2:27">
      <c r="B202">
        <f t="shared" si="43"/>
        <v>264</v>
      </c>
      <c r="C202">
        <v>2.4</v>
      </c>
      <c r="E202">
        <f t="shared" si="44"/>
        <v>264</v>
      </c>
      <c r="F202">
        <f t="shared" si="52"/>
        <v>2.4720000000000031</v>
      </c>
      <c r="H202">
        <f t="shared" si="45"/>
        <v>264</v>
      </c>
      <c r="I202">
        <f t="shared" si="41"/>
        <v>2.0951999999999908</v>
      </c>
      <c r="K202">
        <f t="shared" si="46"/>
        <v>264</v>
      </c>
      <c r="L202">
        <f t="shared" si="53"/>
        <v>2.372000000000003</v>
      </c>
      <c r="N202">
        <f t="shared" si="47"/>
        <v>264</v>
      </c>
      <c r="O202">
        <f t="shared" si="54"/>
        <v>2.372000000000003</v>
      </c>
      <c r="Q202">
        <f t="shared" si="48"/>
        <v>264</v>
      </c>
      <c r="R202">
        <f t="shared" si="55"/>
        <v>1.772</v>
      </c>
      <c r="T202">
        <f t="shared" si="49"/>
        <v>264</v>
      </c>
      <c r="U202">
        <f t="shared" si="56"/>
        <v>2.0720000000000032</v>
      </c>
      <c r="W202">
        <f t="shared" si="50"/>
        <v>264</v>
      </c>
      <c r="X202">
        <f t="shared" si="57"/>
        <v>2.7720000000000029</v>
      </c>
      <c r="Z202">
        <f t="shared" si="51"/>
        <v>264</v>
      </c>
      <c r="AA202">
        <f t="shared" si="58"/>
        <v>2.4720000000000031</v>
      </c>
    </row>
    <row r="203" spans="2:27">
      <c r="B203">
        <f t="shared" si="43"/>
        <v>265</v>
      </c>
      <c r="C203">
        <v>2.4</v>
      </c>
      <c r="E203">
        <f t="shared" si="44"/>
        <v>265</v>
      </c>
      <c r="F203">
        <f t="shared" si="52"/>
        <v>2.4700000000000033</v>
      </c>
      <c r="H203">
        <f t="shared" si="45"/>
        <v>265</v>
      </c>
      <c r="I203">
        <f t="shared" si="41"/>
        <v>2.0944999999999907</v>
      </c>
      <c r="K203">
        <f t="shared" si="46"/>
        <v>265</v>
      </c>
      <c r="L203">
        <f t="shared" si="53"/>
        <v>2.3700000000000032</v>
      </c>
      <c r="N203">
        <f t="shared" si="47"/>
        <v>265</v>
      </c>
      <c r="O203">
        <f t="shared" si="54"/>
        <v>2.3700000000000032</v>
      </c>
      <c r="Q203">
        <f t="shared" si="48"/>
        <v>265</v>
      </c>
      <c r="R203">
        <f t="shared" si="55"/>
        <v>1.77</v>
      </c>
      <c r="T203">
        <f t="shared" si="49"/>
        <v>265</v>
      </c>
      <c r="U203">
        <f t="shared" si="56"/>
        <v>2.0700000000000034</v>
      </c>
      <c r="W203">
        <f t="shared" si="50"/>
        <v>265</v>
      </c>
      <c r="X203">
        <f t="shared" si="57"/>
        <v>2.7700000000000031</v>
      </c>
      <c r="Z203">
        <f t="shared" si="51"/>
        <v>265</v>
      </c>
      <c r="AA203">
        <f t="shared" si="58"/>
        <v>2.4700000000000033</v>
      </c>
    </row>
    <row r="204" spans="2:27">
      <c r="B204">
        <f t="shared" si="43"/>
        <v>266</v>
      </c>
      <c r="C204">
        <v>2.4</v>
      </c>
      <c r="E204">
        <f t="shared" si="44"/>
        <v>266</v>
      </c>
      <c r="F204">
        <f t="shared" si="52"/>
        <v>2.4680000000000035</v>
      </c>
      <c r="H204">
        <f t="shared" si="45"/>
        <v>266</v>
      </c>
      <c r="I204">
        <f t="shared" ref="I204:I237" si="59">I203-0.0007</f>
        <v>2.0937999999999906</v>
      </c>
      <c r="K204">
        <f t="shared" si="46"/>
        <v>266</v>
      </c>
      <c r="L204">
        <f t="shared" si="53"/>
        <v>2.3680000000000034</v>
      </c>
      <c r="N204">
        <f t="shared" si="47"/>
        <v>266</v>
      </c>
      <c r="O204">
        <f t="shared" si="54"/>
        <v>2.3680000000000034</v>
      </c>
      <c r="Q204">
        <f t="shared" si="48"/>
        <v>266</v>
      </c>
      <c r="R204">
        <f t="shared" si="55"/>
        <v>1.768</v>
      </c>
      <c r="T204">
        <f t="shared" si="49"/>
        <v>266</v>
      </c>
      <c r="U204">
        <f t="shared" si="56"/>
        <v>2.0680000000000036</v>
      </c>
      <c r="W204">
        <f t="shared" si="50"/>
        <v>266</v>
      </c>
      <c r="X204">
        <f t="shared" si="57"/>
        <v>2.7680000000000033</v>
      </c>
      <c r="Z204">
        <f t="shared" si="51"/>
        <v>266</v>
      </c>
      <c r="AA204">
        <f t="shared" si="58"/>
        <v>2.4680000000000035</v>
      </c>
    </row>
    <row r="205" spans="2:27">
      <c r="B205">
        <f t="shared" si="43"/>
        <v>267</v>
      </c>
      <c r="C205">
        <v>2.4</v>
      </c>
      <c r="E205">
        <f t="shared" si="44"/>
        <v>267</v>
      </c>
      <c r="F205">
        <f t="shared" si="52"/>
        <v>2.4660000000000037</v>
      </c>
      <c r="H205">
        <f t="shared" si="45"/>
        <v>267</v>
      </c>
      <c r="I205">
        <f t="shared" si="59"/>
        <v>2.0930999999999904</v>
      </c>
      <c r="K205">
        <f t="shared" si="46"/>
        <v>267</v>
      </c>
      <c r="L205">
        <f t="shared" si="53"/>
        <v>2.3660000000000037</v>
      </c>
      <c r="N205">
        <f t="shared" si="47"/>
        <v>267</v>
      </c>
      <c r="O205">
        <f t="shared" si="54"/>
        <v>2.3660000000000037</v>
      </c>
      <c r="Q205">
        <f t="shared" si="48"/>
        <v>267</v>
      </c>
      <c r="R205">
        <f t="shared" si="55"/>
        <v>1.766</v>
      </c>
      <c r="T205">
        <f t="shared" si="49"/>
        <v>267</v>
      </c>
      <c r="U205">
        <f t="shared" si="56"/>
        <v>2.0660000000000038</v>
      </c>
      <c r="W205">
        <f t="shared" si="50"/>
        <v>267</v>
      </c>
      <c r="X205">
        <f t="shared" si="57"/>
        <v>2.7660000000000036</v>
      </c>
      <c r="Z205">
        <f t="shared" si="51"/>
        <v>267</v>
      </c>
      <c r="AA205">
        <f t="shared" si="58"/>
        <v>2.4660000000000037</v>
      </c>
    </row>
    <row r="206" spans="2:27">
      <c r="B206">
        <f t="shared" si="43"/>
        <v>268</v>
      </c>
      <c r="C206">
        <v>2.4</v>
      </c>
      <c r="E206">
        <f t="shared" si="44"/>
        <v>268</v>
      </c>
      <c r="F206">
        <f t="shared" si="52"/>
        <v>2.464000000000004</v>
      </c>
      <c r="H206">
        <f t="shared" si="45"/>
        <v>268</v>
      </c>
      <c r="I206">
        <f t="shared" si="59"/>
        <v>2.0923999999999903</v>
      </c>
      <c r="K206">
        <f t="shared" si="46"/>
        <v>268</v>
      </c>
      <c r="L206">
        <f t="shared" si="53"/>
        <v>2.3640000000000039</v>
      </c>
      <c r="N206">
        <f t="shared" si="47"/>
        <v>268</v>
      </c>
      <c r="O206">
        <f t="shared" si="54"/>
        <v>2.3640000000000039</v>
      </c>
      <c r="Q206">
        <f t="shared" si="48"/>
        <v>268</v>
      </c>
      <c r="R206">
        <f t="shared" si="55"/>
        <v>1.764</v>
      </c>
      <c r="T206">
        <f t="shared" si="49"/>
        <v>268</v>
      </c>
      <c r="U206">
        <f t="shared" si="56"/>
        <v>2.0640000000000041</v>
      </c>
      <c r="W206">
        <f t="shared" si="50"/>
        <v>268</v>
      </c>
      <c r="X206">
        <f t="shared" si="57"/>
        <v>2.7640000000000038</v>
      </c>
      <c r="Z206">
        <f t="shared" si="51"/>
        <v>268</v>
      </c>
      <c r="AA206">
        <f t="shared" si="58"/>
        <v>2.464000000000004</v>
      </c>
    </row>
    <row r="207" spans="2:27">
      <c r="B207">
        <f t="shared" si="43"/>
        <v>269</v>
      </c>
      <c r="C207">
        <v>2.4</v>
      </c>
      <c r="E207">
        <f t="shared" si="44"/>
        <v>269</v>
      </c>
      <c r="F207">
        <f t="shared" si="52"/>
        <v>2.4620000000000042</v>
      </c>
      <c r="H207">
        <f t="shared" si="45"/>
        <v>269</v>
      </c>
      <c r="I207">
        <f t="shared" si="59"/>
        <v>2.0916999999999901</v>
      </c>
      <c r="K207">
        <f t="shared" si="46"/>
        <v>269</v>
      </c>
      <c r="L207">
        <f t="shared" si="53"/>
        <v>2.3620000000000041</v>
      </c>
      <c r="N207">
        <f t="shared" si="47"/>
        <v>269</v>
      </c>
      <c r="O207">
        <f t="shared" si="54"/>
        <v>2.3620000000000041</v>
      </c>
      <c r="Q207">
        <f t="shared" si="48"/>
        <v>269</v>
      </c>
      <c r="R207">
        <f t="shared" si="55"/>
        <v>1.762</v>
      </c>
      <c r="T207">
        <f t="shared" si="49"/>
        <v>269</v>
      </c>
      <c r="U207">
        <f t="shared" si="56"/>
        <v>2.0620000000000043</v>
      </c>
      <c r="W207">
        <f t="shared" si="50"/>
        <v>269</v>
      </c>
      <c r="X207">
        <f t="shared" si="57"/>
        <v>2.762000000000004</v>
      </c>
      <c r="Z207">
        <f t="shared" si="51"/>
        <v>269</v>
      </c>
      <c r="AA207">
        <f t="shared" si="58"/>
        <v>2.4620000000000042</v>
      </c>
    </row>
    <row r="208" spans="2:27">
      <c r="B208">
        <f t="shared" si="43"/>
        <v>270</v>
      </c>
      <c r="C208">
        <v>2.4</v>
      </c>
      <c r="E208">
        <f t="shared" si="44"/>
        <v>270</v>
      </c>
      <c r="F208">
        <f t="shared" si="52"/>
        <v>2.4600000000000044</v>
      </c>
      <c r="H208">
        <f t="shared" si="45"/>
        <v>270</v>
      </c>
      <c r="I208">
        <f t="shared" si="59"/>
        <v>2.09099999999999</v>
      </c>
      <c r="K208">
        <f t="shared" si="46"/>
        <v>270</v>
      </c>
      <c r="L208">
        <f t="shared" si="53"/>
        <v>2.3600000000000043</v>
      </c>
      <c r="N208">
        <f t="shared" si="47"/>
        <v>270</v>
      </c>
      <c r="O208">
        <f t="shared" si="54"/>
        <v>2.3600000000000043</v>
      </c>
      <c r="Q208">
        <f t="shared" si="48"/>
        <v>270</v>
      </c>
      <c r="R208">
        <f t="shared" si="55"/>
        <v>1.76</v>
      </c>
      <c r="T208">
        <f t="shared" si="49"/>
        <v>270</v>
      </c>
      <c r="U208">
        <f t="shared" si="56"/>
        <v>2.0600000000000045</v>
      </c>
      <c r="W208">
        <f t="shared" si="50"/>
        <v>270</v>
      </c>
      <c r="X208">
        <f t="shared" si="57"/>
        <v>2.7600000000000042</v>
      </c>
      <c r="Z208">
        <f t="shared" si="51"/>
        <v>270</v>
      </c>
      <c r="AA208">
        <f t="shared" si="58"/>
        <v>2.4600000000000044</v>
      </c>
    </row>
    <row r="209" spans="2:27">
      <c r="B209">
        <f t="shared" si="43"/>
        <v>271</v>
      </c>
      <c r="C209">
        <v>2.4</v>
      </c>
      <c r="E209">
        <f t="shared" si="44"/>
        <v>271</v>
      </c>
      <c r="F209">
        <f t="shared" si="52"/>
        <v>2.4580000000000046</v>
      </c>
      <c r="H209">
        <f t="shared" si="45"/>
        <v>271</v>
      </c>
      <c r="I209">
        <f t="shared" si="59"/>
        <v>2.0902999999999898</v>
      </c>
      <c r="K209">
        <f t="shared" si="46"/>
        <v>271</v>
      </c>
      <c r="L209">
        <f t="shared" si="53"/>
        <v>2.3580000000000045</v>
      </c>
      <c r="N209">
        <f t="shared" si="47"/>
        <v>271</v>
      </c>
      <c r="O209">
        <f t="shared" si="54"/>
        <v>2.3580000000000045</v>
      </c>
      <c r="Q209">
        <f t="shared" si="48"/>
        <v>271</v>
      </c>
      <c r="R209">
        <f t="shared" si="55"/>
        <v>1.758</v>
      </c>
      <c r="T209">
        <f t="shared" si="49"/>
        <v>271</v>
      </c>
      <c r="U209">
        <f t="shared" si="56"/>
        <v>2.0580000000000047</v>
      </c>
      <c r="W209">
        <f t="shared" si="50"/>
        <v>271</v>
      </c>
      <c r="X209">
        <f t="shared" si="57"/>
        <v>2.7580000000000044</v>
      </c>
      <c r="Z209">
        <f t="shared" si="51"/>
        <v>271</v>
      </c>
      <c r="AA209">
        <f t="shared" si="58"/>
        <v>2.4580000000000046</v>
      </c>
    </row>
    <row r="210" spans="2:27">
      <c r="B210">
        <f t="shared" si="43"/>
        <v>272</v>
      </c>
      <c r="C210">
        <v>2.4</v>
      </c>
      <c r="E210">
        <f t="shared" si="44"/>
        <v>272</v>
      </c>
      <c r="F210">
        <f t="shared" si="52"/>
        <v>2.4560000000000048</v>
      </c>
      <c r="H210">
        <f t="shared" si="45"/>
        <v>272</v>
      </c>
      <c r="I210">
        <f t="shared" si="59"/>
        <v>2.0895999999999897</v>
      </c>
      <c r="K210">
        <f t="shared" si="46"/>
        <v>272</v>
      </c>
      <c r="L210">
        <f t="shared" si="53"/>
        <v>2.3560000000000048</v>
      </c>
      <c r="N210">
        <f t="shared" si="47"/>
        <v>272</v>
      </c>
      <c r="O210">
        <f t="shared" si="54"/>
        <v>2.3560000000000048</v>
      </c>
      <c r="Q210">
        <f t="shared" si="48"/>
        <v>272</v>
      </c>
      <c r="R210">
        <f t="shared" si="55"/>
        <v>1.756</v>
      </c>
      <c r="T210">
        <f t="shared" si="49"/>
        <v>272</v>
      </c>
      <c r="U210">
        <f t="shared" si="56"/>
        <v>2.0560000000000049</v>
      </c>
      <c r="W210">
        <f t="shared" si="50"/>
        <v>272</v>
      </c>
      <c r="X210">
        <f t="shared" si="57"/>
        <v>2.7560000000000047</v>
      </c>
      <c r="Z210">
        <f t="shared" si="51"/>
        <v>272</v>
      </c>
      <c r="AA210">
        <f t="shared" si="58"/>
        <v>2.4560000000000048</v>
      </c>
    </row>
    <row r="211" spans="2:27">
      <c r="B211">
        <f t="shared" si="43"/>
        <v>273</v>
      </c>
      <c r="C211">
        <v>2.4</v>
      </c>
      <c r="E211">
        <f t="shared" si="44"/>
        <v>273</v>
      </c>
      <c r="F211">
        <f t="shared" si="52"/>
        <v>2.4540000000000051</v>
      </c>
      <c r="H211">
        <f t="shared" si="45"/>
        <v>273</v>
      </c>
      <c r="I211">
        <f t="shared" si="59"/>
        <v>2.0888999999999895</v>
      </c>
      <c r="K211">
        <f t="shared" si="46"/>
        <v>273</v>
      </c>
      <c r="L211">
        <f t="shared" si="53"/>
        <v>2.354000000000005</v>
      </c>
      <c r="N211">
        <f t="shared" si="47"/>
        <v>273</v>
      </c>
      <c r="O211">
        <f t="shared" si="54"/>
        <v>2.354000000000005</v>
      </c>
      <c r="Q211">
        <f t="shared" si="48"/>
        <v>273</v>
      </c>
      <c r="R211">
        <f t="shared" si="55"/>
        <v>1.754</v>
      </c>
      <c r="T211">
        <f t="shared" si="49"/>
        <v>273</v>
      </c>
      <c r="U211">
        <f t="shared" si="56"/>
        <v>2.0540000000000052</v>
      </c>
      <c r="W211">
        <f t="shared" si="50"/>
        <v>273</v>
      </c>
      <c r="X211">
        <f t="shared" si="57"/>
        <v>2.7540000000000049</v>
      </c>
      <c r="Z211">
        <f t="shared" si="51"/>
        <v>273</v>
      </c>
      <c r="AA211">
        <f t="shared" si="58"/>
        <v>2.4540000000000051</v>
      </c>
    </row>
    <row r="212" spans="2:27">
      <c r="B212">
        <f t="shared" ref="B212:B238" si="60">B211+1</f>
        <v>274</v>
      </c>
      <c r="C212">
        <v>2.4</v>
      </c>
      <c r="E212">
        <f t="shared" ref="E212:E238" si="61">E211+1</f>
        <v>274</v>
      </c>
      <c r="F212">
        <f t="shared" si="52"/>
        <v>2.4520000000000053</v>
      </c>
      <c r="H212">
        <f t="shared" ref="H212:H238" si="62">H211+1</f>
        <v>274</v>
      </c>
      <c r="I212">
        <f t="shared" si="59"/>
        <v>2.0881999999999894</v>
      </c>
      <c r="K212">
        <f t="shared" ref="K212:K238" si="63">K211+1</f>
        <v>274</v>
      </c>
      <c r="L212">
        <f t="shared" si="53"/>
        <v>2.3520000000000052</v>
      </c>
      <c r="N212">
        <f t="shared" ref="N212:N238" si="64">N211+1</f>
        <v>274</v>
      </c>
      <c r="O212">
        <f t="shared" si="54"/>
        <v>2.3520000000000052</v>
      </c>
      <c r="Q212">
        <f t="shared" ref="Q212:Q238" si="65">Q211+1</f>
        <v>274</v>
      </c>
      <c r="R212">
        <f t="shared" si="55"/>
        <v>1.752</v>
      </c>
      <c r="T212">
        <f t="shared" ref="T212:T238" si="66">T211+1</f>
        <v>274</v>
      </c>
      <c r="U212">
        <f t="shared" si="56"/>
        <v>2.0520000000000054</v>
      </c>
      <c r="W212">
        <f t="shared" ref="W212:W238" si="67">W211+1</f>
        <v>274</v>
      </c>
      <c r="X212">
        <f t="shared" si="57"/>
        <v>2.7520000000000051</v>
      </c>
      <c r="Z212">
        <f t="shared" ref="Z212:Z238" si="68">Z211+1</f>
        <v>274</v>
      </c>
      <c r="AA212">
        <f t="shared" si="58"/>
        <v>2.4520000000000053</v>
      </c>
    </row>
    <row r="213" spans="2:27">
      <c r="B213">
        <f t="shared" si="60"/>
        <v>275</v>
      </c>
      <c r="C213">
        <v>2.4</v>
      </c>
      <c r="E213">
        <f t="shared" si="61"/>
        <v>275</v>
      </c>
      <c r="F213">
        <f t="shared" si="52"/>
        <v>2.4500000000000055</v>
      </c>
      <c r="H213">
        <f t="shared" si="62"/>
        <v>275</v>
      </c>
      <c r="I213">
        <f t="shared" si="59"/>
        <v>2.0874999999999893</v>
      </c>
      <c r="K213">
        <f t="shared" si="63"/>
        <v>275</v>
      </c>
      <c r="L213">
        <f t="shared" si="53"/>
        <v>2.3500000000000054</v>
      </c>
      <c r="N213">
        <f t="shared" si="64"/>
        <v>275</v>
      </c>
      <c r="O213">
        <f t="shared" si="54"/>
        <v>2.3500000000000054</v>
      </c>
      <c r="Q213">
        <f t="shared" si="65"/>
        <v>275</v>
      </c>
      <c r="R213">
        <f t="shared" si="55"/>
        <v>1.75</v>
      </c>
      <c r="T213">
        <f t="shared" si="66"/>
        <v>275</v>
      </c>
      <c r="U213">
        <f t="shared" si="56"/>
        <v>2.0500000000000056</v>
      </c>
      <c r="W213">
        <f t="shared" si="67"/>
        <v>275</v>
      </c>
      <c r="X213">
        <f t="shared" si="57"/>
        <v>2.7500000000000053</v>
      </c>
      <c r="Z213">
        <f t="shared" si="68"/>
        <v>275</v>
      </c>
      <c r="AA213">
        <f t="shared" si="58"/>
        <v>2.4500000000000055</v>
      </c>
    </row>
    <row r="214" spans="2:27">
      <c r="B214">
        <f>B213+1</f>
        <v>276</v>
      </c>
      <c r="C214">
        <v>2.4</v>
      </c>
      <c r="E214">
        <f>E213+1</f>
        <v>276</v>
      </c>
      <c r="F214">
        <f>F213-0.002</f>
        <v>2.4480000000000057</v>
      </c>
      <c r="H214">
        <f>H213+1</f>
        <v>276</v>
      </c>
      <c r="I214">
        <f t="shared" si="59"/>
        <v>2.0867999999999891</v>
      </c>
      <c r="K214">
        <f>K213+1</f>
        <v>276</v>
      </c>
      <c r="L214">
        <f>L213-0.002</f>
        <v>2.3480000000000056</v>
      </c>
      <c r="N214">
        <f>N213+1</f>
        <v>276</v>
      </c>
      <c r="O214">
        <f>O213-0.002</f>
        <v>2.3480000000000056</v>
      </c>
      <c r="Q214">
        <f>Q213+1</f>
        <v>276</v>
      </c>
      <c r="R214">
        <f>R213-0.002</f>
        <v>1.748</v>
      </c>
      <c r="T214">
        <f>T213+1</f>
        <v>276</v>
      </c>
      <c r="U214">
        <f>U213-0.002</f>
        <v>2.0480000000000058</v>
      </c>
      <c r="W214">
        <f>W213+1</f>
        <v>276</v>
      </c>
      <c r="X214">
        <f>X213-0.002</f>
        <v>2.7480000000000055</v>
      </c>
      <c r="Z214">
        <f>Z213+1</f>
        <v>276</v>
      </c>
      <c r="AA214">
        <f>AA213-0.002</f>
        <v>2.4480000000000057</v>
      </c>
    </row>
    <row r="215" spans="2:27">
      <c r="B215">
        <f t="shared" si="60"/>
        <v>277</v>
      </c>
      <c r="C215">
        <v>2.4</v>
      </c>
      <c r="E215">
        <f t="shared" si="61"/>
        <v>277</v>
      </c>
      <c r="F215">
        <f t="shared" si="52"/>
        <v>2.4460000000000059</v>
      </c>
      <c r="H215">
        <f t="shared" si="62"/>
        <v>277</v>
      </c>
      <c r="I215">
        <f t="shared" si="59"/>
        <v>2.086099999999989</v>
      </c>
      <c r="K215">
        <f t="shared" si="63"/>
        <v>277</v>
      </c>
      <c r="L215">
        <f t="shared" si="53"/>
        <v>2.3460000000000059</v>
      </c>
      <c r="N215">
        <f t="shared" si="64"/>
        <v>277</v>
      </c>
      <c r="O215">
        <f t="shared" si="54"/>
        <v>2.3460000000000059</v>
      </c>
      <c r="Q215">
        <f t="shared" si="65"/>
        <v>277</v>
      </c>
      <c r="R215">
        <f t="shared" si="55"/>
        <v>1.746</v>
      </c>
      <c r="T215">
        <f t="shared" si="66"/>
        <v>277</v>
      </c>
      <c r="U215">
        <f t="shared" si="56"/>
        <v>2.046000000000006</v>
      </c>
      <c r="W215">
        <f t="shared" si="67"/>
        <v>277</v>
      </c>
      <c r="X215">
        <f t="shared" si="57"/>
        <v>2.7460000000000058</v>
      </c>
      <c r="Z215">
        <f t="shared" si="68"/>
        <v>277</v>
      </c>
      <c r="AA215">
        <f t="shared" si="58"/>
        <v>2.4460000000000059</v>
      </c>
    </row>
    <row r="216" spans="2:27">
      <c r="B216">
        <f t="shared" si="60"/>
        <v>278</v>
      </c>
      <c r="C216">
        <v>2.4</v>
      </c>
      <c r="E216">
        <f t="shared" si="61"/>
        <v>278</v>
      </c>
      <c r="F216">
        <f t="shared" si="52"/>
        <v>2.4440000000000062</v>
      </c>
      <c r="H216">
        <f t="shared" si="62"/>
        <v>278</v>
      </c>
      <c r="I216">
        <f t="shared" si="59"/>
        <v>2.0853999999999888</v>
      </c>
      <c r="K216">
        <f t="shared" si="63"/>
        <v>278</v>
      </c>
      <c r="L216">
        <f t="shared" si="53"/>
        <v>2.3440000000000061</v>
      </c>
      <c r="N216">
        <f t="shared" si="64"/>
        <v>278</v>
      </c>
      <c r="O216">
        <f t="shared" si="54"/>
        <v>2.3440000000000061</v>
      </c>
      <c r="Q216">
        <f t="shared" si="65"/>
        <v>278</v>
      </c>
      <c r="R216">
        <f t="shared" si="55"/>
        <v>1.744</v>
      </c>
      <c r="T216">
        <f t="shared" si="66"/>
        <v>278</v>
      </c>
      <c r="U216">
        <f t="shared" si="56"/>
        <v>2.0440000000000063</v>
      </c>
      <c r="W216">
        <f t="shared" si="67"/>
        <v>278</v>
      </c>
      <c r="X216">
        <f t="shared" si="57"/>
        <v>2.744000000000006</v>
      </c>
      <c r="Z216">
        <f t="shared" si="68"/>
        <v>278</v>
      </c>
      <c r="AA216">
        <f t="shared" si="58"/>
        <v>2.4440000000000062</v>
      </c>
    </row>
    <row r="217" spans="2:27">
      <c r="B217">
        <f t="shared" si="60"/>
        <v>279</v>
      </c>
      <c r="C217">
        <v>2.4</v>
      </c>
      <c r="E217">
        <f t="shared" si="61"/>
        <v>279</v>
      </c>
      <c r="F217">
        <f t="shared" si="52"/>
        <v>2.4420000000000064</v>
      </c>
      <c r="H217">
        <f t="shared" si="62"/>
        <v>279</v>
      </c>
      <c r="I217">
        <f t="shared" si="59"/>
        <v>2.0846999999999887</v>
      </c>
      <c r="K217">
        <f t="shared" si="63"/>
        <v>279</v>
      </c>
      <c r="L217">
        <f t="shared" si="53"/>
        <v>2.3420000000000063</v>
      </c>
      <c r="N217">
        <f t="shared" si="64"/>
        <v>279</v>
      </c>
      <c r="O217">
        <f t="shared" si="54"/>
        <v>2.3420000000000063</v>
      </c>
      <c r="Q217">
        <f t="shared" si="65"/>
        <v>279</v>
      </c>
      <c r="R217">
        <f t="shared" si="55"/>
        <v>1.742</v>
      </c>
      <c r="T217">
        <f t="shared" si="66"/>
        <v>279</v>
      </c>
      <c r="U217">
        <f t="shared" si="56"/>
        <v>2.0420000000000065</v>
      </c>
      <c r="W217">
        <f t="shared" si="67"/>
        <v>279</v>
      </c>
      <c r="X217">
        <f t="shared" si="57"/>
        <v>2.7420000000000062</v>
      </c>
      <c r="Z217">
        <f t="shared" si="68"/>
        <v>279</v>
      </c>
      <c r="AA217">
        <f t="shared" si="58"/>
        <v>2.4420000000000064</v>
      </c>
    </row>
    <row r="218" spans="2:27">
      <c r="B218">
        <f t="shared" si="60"/>
        <v>280</v>
      </c>
      <c r="C218">
        <v>2.4</v>
      </c>
      <c r="E218">
        <f t="shared" si="61"/>
        <v>280</v>
      </c>
      <c r="F218">
        <f t="shared" si="52"/>
        <v>2.4400000000000066</v>
      </c>
      <c r="H218">
        <f t="shared" si="62"/>
        <v>280</v>
      </c>
      <c r="I218">
        <f t="shared" si="59"/>
        <v>2.0839999999999885</v>
      </c>
      <c r="K218">
        <f t="shared" si="63"/>
        <v>280</v>
      </c>
      <c r="L218">
        <f t="shared" si="53"/>
        <v>2.3400000000000065</v>
      </c>
      <c r="N218">
        <f t="shared" si="64"/>
        <v>280</v>
      </c>
      <c r="O218">
        <f t="shared" si="54"/>
        <v>2.3400000000000065</v>
      </c>
      <c r="Q218">
        <f t="shared" si="65"/>
        <v>280</v>
      </c>
      <c r="R218">
        <f t="shared" si="55"/>
        <v>1.74</v>
      </c>
      <c r="T218">
        <f t="shared" si="66"/>
        <v>280</v>
      </c>
      <c r="U218">
        <f t="shared" si="56"/>
        <v>2.0400000000000067</v>
      </c>
      <c r="W218">
        <f t="shared" si="67"/>
        <v>280</v>
      </c>
      <c r="X218">
        <f t="shared" si="57"/>
        <v>2.7400000000000064</v>
      </c>
      <c r="Z218">
        <f t="shared" si="68"/>
        <v>280</v>
      </c>
      <c r="AA218">
        <f t="shared" si="58"/>
        <v>2.4400000000000066</v>
      </c>
    </row>
    <row r="219" spans="2:27">
      <c r="B219">
        <f t="shared" si="60"/>
        <v>281</v>
      </c>
      <c r="C219">
        <v>2.4</v>
      </c>
      <c r="E219">
        <f t="shared" si="61"/>
        <v>281</v>
      </c>
      <c r="F219">
        <f t="shared" si="52"/>
        <v>2.4380000000000068</v>
      </c>
      <c r="H219">
        <f t="shared" si="62"/>
        <v>281</v>
      </c>
      <c r="I219">
        <f t="shared" si="59"/>
        <v>2.0832999999999884</v>
      </c>
      <c r="K219">
        <f t="shared" si="63"/>
        <v>281</v>
      </c>
      <c r="L219">
        <f t="shared" si="53"/>
        <v>2.3380000000000067</v>
      </c>
      <c r="N219">
        <f t="shared" si="64"/>
        <v>281</v>
      </c>
      <c r="O219">
        <f t="shared" si="54"/>
        <v>2.3380000000000067</v>
      </c>
      <c r="Q219">
        <f t="shared" si="65"/>
        <v>281</v>
      </c>
      <c r="R219">
        <f t="shared" si="55"/>
        <v>1.738</v>
      </c>
      <c r="T219">
        <f t="shared" si="66"/>
        <v>281</v>
      </c>
      <c r="U219">
        <f t="shared" si="56"/>
        <v>2.0380000000000069</v>
      </c>
      <c r="W219">
        <f t="shared" si="67"/>
        <v>281</v>
      </c>
      <c r="X219">
        <f t="shared" si="57"/>
        <v>2.7380000000000067</v>
      </c>
      <c r="Z219">
        <f t="shared" si="68"/>
        <v>281</v>
      </c>
      <c r="AA219">
        <f t="shared" si="58"/>
        <v>2.4380000000000068</v>
      </c>
    </row>
    <row r="220" spans="2:27">
      <c r="B220">
        <f t="shared" si="60"/>
        <v>282</v>
      </c>
      <c r="C220">
        <v>2.4</v>
      </c>
      <c r="E220">
        <f t="shared" si="61"/>
        <v>282</v>
      </c>
      <c r="F220">
        <f t="shared" si="52"/>
        <v>2.436000000000007</v>
      </c>
      <c r="H220">
        <f t="shared" si="62"/>
        <v>282</v>
      </c>
      <c r="I220">
        <f t="shared" si="59"/>
        <v>2.0825999999999882</v>
      </c>
      <c r="K220">
        <f t="shared" si="63"/>
        <v>282</v>
      </c>
      <c r="L220">
        <f t="shared" si="53"/>
        <v>2.336000000000007</v>
      </c>
      <c r="N220">
        <f t="shared" si="64"/>
        <v>282</v>
      </c>
      <c r="O220">
        <f t="shared" si="54"/>
        <v>2.336000000000007</v>
      </c>
      <c r="Q220">
        <f t="shared" si="65"/>
        <v>282</v>
      </c>
      <c r="R220">
        <f t="shared" si="55"/>
        <v>1.736</v>
      </c>
      <c r="T220">
        <f t="shared" si="66"/>
        <v>282</v>
      </c>
      <c r="U220">
        <f t="shared" si="56"/>
        <v>2.0360000000000071</v>
      </c>
      <c r="W220">
        <f t="shared" si="67"/>
        <v>282</v>
      </c>
      <c r="X220">
        <f t="shared" si="57"/>
        <v>2.7360000000000069</v>
      </c>
      <c r="Z220">
        <f t="shared" si="68"/>
        <v>282</v>
      </c>
      <c r="AA220">
        <f t="shared" si="58"/>
        <v>2.436000000000007</v>
      </c>
    </row>
    <row r="221" spans="2:27">
      <c r="B221">
        <f t="shared" si="60"/>
        <v>283</v>
      </c>
      <c r="C221">
        <v>2.4</v>
      </c>
      <c r="E221">
        <f t="shared" si="61"/>
        <v>283</v>
      </c>
      <c r="F221">
        <f t="shared" si="52"/>
        <v>2.4340000000000073</v>
      </c>
      <c r="H221">
        <f t="shared" si="62"/>
        <v>283</v>
      </c>
      <c r="I221">
        <f t="shared" si="59"/>
        <v>2.0818999999999881</v>
      </c>
      <c r="K221">
        <f t="shared" si="63"/>
        <v>283</v>
      </c>
      <c r="L221">
        <f t="shared" si="53"/>
        <v>2.3340000000000072</v>
      </c>
      <c r="N221">
        <f t="shared" si="64"/>
        <v>283</v>
      </c>
      <c r="O221">
        <f t="shared" si="54"/>
        <v>2.3340000000000072</v>
      </c>
      <c r="Q221">
        <f t="shared" si="65"/>
        <v>283</v>
      </c>
      <c r="R221">
        <f t="shared" si="55"/>
        <v>1.734</v>
      </c>
      <c r="T221">
        <f t="shared" si="66"/>
        <v>283</v>
      </c>
      <c r="U221">
        <f t="shared" si="56"/>
        <v>2.0340000000000074</v>
      </c>
      <c r="W221">
        <f t="shared" si="67"/>
        <v>283</v>
      </c>
      <c r="X221">
        <f t="shared" si="57"/>
        <v>2.7340000000000071</v>
      </c>
      <c r="Z221">
        <f t="shared" si="68"/>
        <v>283</v>
      </c>
      <c r="AA221">
        <f t="shared" si="58"/>
        <v>2.4340000000000073</v>
      </c>
    </row>
    <row r="222" spans="2:27">
      <c r="B222">
        <f t="shared" si="60"/>
        <v>284</v>
      </c>
      <c r="C222">
        <v>2.4</v>
      </c>
      <c r="E222">
        <f t="shared" si="61"/>
        <v>284</v>
      </c>
      <c r="F222">
        <f t="shared" si="52"/>
        <v>2.4320000000000075</v>
      </c>
      <c r="H222">
        <f t="shared" si="62"/>
        <v>284</v>
      </c>
      <c r="I222">
        <f t="shared" si="59"/>
        <v>2.0811999999999879</v>
      </c>
      <c r="K222">
        <f t="shared" si="63"/>
        <v>284</v>
      </c>
      <c r="L222">
        <f t="shared" si="53"/>
        <v>2.3320000000000074</v>
      </c>
      <c r="N222">
        <f t="shared" si="64"/>
        <v>284</v>
      </c>
      <c r="O222">
        <f t="shared" si="54"/>
        <v>2.3320000000000074</v>
      </c>
      <c r="Q222">
        <f t="shared" si="65"/>
        <v>284</v>
      </c>
      <c r="R222">
        <f t="shared" si="55"/>
        <v>1.732</v>
      </c>
      <c r="T222">
        <f t="shared" si="66"/>
        <v>284</v>
      </c>
      <c r="U222">
        <f t="shared" si="56"/>
        <v>2.0320000000000076</v>
      </c>
      <c r="W222">
        <f t="shared" si="67"/>
        <v>284</v>
      </c>
      <c r="X222">
        <f t="shared" si="57"/>
        <v>2.7320000000000073</v>
      </c>
      <c r="Z222">
        <f t="shared" si="68"/>
        <v>284</v>
      </c>
      <c r="AA222">
        <f t="shared" si="58"/>
        <v>2.4320000000000075</v>
      </c>
    </row>
    <row r="223" spans="2:27">
      <c r="B223">
        <f t="shared" si="60"/>
        <v>285</v>
      </c>
      <c r="C223">
        <v>2.4</v>
      </c>
      <c r="E223">
        <f t="shared" si="61"/>
        <v>285</v>
      </c>
      <c r="F223">
        <f t="shared" si="52"/>
        <v>2.4300000000000077</v>
      </c>
      <c r="H223">
        <f t="shared" si="62"/>
        <v>285</v>
      </c>
      <c r="I223">
        <f t="shared" si="59"/>
        <v>2.0804999999999878</v>
      </c>
      <c r="K223">
        <f t="shared" si="63"/>
        <v>285</v>
      </c>
      <c r="L223">
        <f t="shared" si="53"/>
        <v>2.3300000000000076</v>
      </c>
      <c r="N223">
        <f t="shared" si="64"/>
        <v>285</v>
      </c>
      <c r="O223">
        <f t="shared" si="54"/>
        <v>2.3300000000000076</v>
      </c>
      <c r="Q223">
        <f t="shared" si="65"/>
        <v>285</v>
      </c>
      <c r="R223">
        <f t="shared" si="55"/>
        <v>1.73</v>
      </c>
      <c r="T223">
        <f t="shared" si="66"/>
        <v>285</v>
      </c>
      <c r="U223">
        <f t="shared" si="56"/>
        <v>2.0300000000000078</v>
      </c>
      <c r="W223">
        <f t="shared" si="67"/>
        <v>285</v>
      </c>
      <c r="X223">
        <f t="shared" si="57"/>
        <v>2.7300000000000075</v>
      </c>
      <c r="Z223">
        <f t="shared" si="68"/>
        <v>285</v>
      </c>
      <c r="AA223">
        <f t="shared" si="58"/>
        <v>2.4300000000000077</v>
      </c>
    </row>
    <row r="224" spans="2:27">
      <c r="B224">
        <f t="shared" si="60"/>
        <v>286</v>
      </c>
      <c r="C224">
        <v>2.4</v>
      </c>
      <c r="E224">
        <f t="shared" si="61"/>
        <v>286</v>
      </c>
      <c r="F224">
        <f t="shared" si="52"/>
        <v>2.4280000000000079</v>
      </c>
      <c r="H224">
        <f t="shared" si="62"/>
        <v>286</v>
      </c>
      <c r="I224">
        <f t="shared" si="59"/>
        <v>2.0797999999999877</v>
      </c>
      <c r="K224">
        <f t="shared" si="63"/>
        <v>286</v>
      </c>
      <c r="L224">
        <f t="shared" si="53"/>
        <v>2.3280000000000078</v>
      </c>
      <c r="N224">
        <f t="shared" si="64"/>
        <v>286</v>
      </c>
      <c r="O224">
        <f t="shared" si="54"/>
        <v>2.3280000000000078</v>
      </c>
      <c r="Q224">
        <f t="shared" si="65"/>
        <v>286</v>
      </c>
      <c r="R224">
        <f t="shared" si="55"/>
        <v>1.728</v>
      </c>
      <c r="T224">
        <f t="shared" si="66"/>
        <v>286</v>
      </c>
      <c r="U224">
        <f t="shared" si="56"/>
        <v>2.028000000000008</v>
      </c>
      <c r="W224">
        <f t="shared" si="67"/>
        <v>286</v>
      </c>
      <c r="X224">
        <f t="shared" si="57"/>
        <v>2.7280000000000078</v>
      </c>
      <c r="Z224">
        <f t="shared" si="68"/>
        <v>286</v>
      </c>
      <c r="AA224">
        <f t="shared" si="58"/>
        <v>2.4280000000000079</v>
      </c>
    </row>
    <row r="225" spans="2:27">
      <c r="B225">
        <f t="shared" si="60"/>
        <v>287</v>
      </c>
      <c r="C225">
        <v>2.4</v>
      </c>
      <c r="E225">
        <f t="shared" si="61"/>
        <v>287</v>
      </c>
      <c r="F225">
        <f t="shared" si="52"/>
        <v>2.4260000000000081</v>
      </c>
      <c r="H225">
        <f t="shared" si="62"/>
        <v>287</v>
      </c>
      <c r="I225">
        <f t="shared" si="59"/>
        <v>2.0790999999999875</v>
      </c>
      <c r="K225">
        <f t="shared" si="63"/>
        <v>287</v>
      </c>
      <c r="L225">
        <f t="shared" si="53"/>
        <v>2.3260000000000081</v>
      </c>
      <c r="N225">
        <f t="shared" si="64"/>
        <v>287</v>
      </c>
      <c r="O225">
        <f t="shared" si="54"/>
        <v>2.3260000000000081</v>
      </c>
      <c r="Q225">
        <f t="shared" si="65"/>
        <v>287</v>
      </c>
      <c r="R225">
        <f t="shared" si="55"/>
        <v>1.726</v>
      </c>
      <c r="T225">
        <f t="shared" si="66"/>
        <v>287</v>
      </c>
      <c r="U225">
        <f t="shared" si="56"/>
        <v>2.0260000000000082</v>
      </c>
      <c r="W225">
        <f t="shared" si="67"/>
        <v>287</v>
      </c>
      <c r="X225">
        <f t="shared" si="57"/>
        <v>2.726000000000008</v>
      </c>
      <c r="Z225">
        <f t="shared" si="68"/>
        <v>287</v>
      </c>
      <c r="AA225">
        <f t="shared" si="58"/>
        <v>2.4260000000000081</v>
      </c>
    </row>
    <row r="226" spans="2:27">
      <c r="B226">
        <f t="shared" si="60"/>
        <v>288</v>
      </c>
      <c r="C226">
        <v>2.4</v>
      </c>
      <c r="E226">
        <f t="shared" si="61"/>
        <v>288</v>
      </c>
      <c r="F226">
        <f t="shared" si="52"/>
        <v>2.4240000000000084</v>
      </c>
      <c r="H226">
        <f t="shared" si="62"/>
        <v>288</v>
      </c>
      <c r="I226">
        <f t="shared" si="59"/>
        <v>2.0783999999999874</v>
      </c>
      <c r="K226">
        <f t="shared" si="63"/>
        <v>288</v>
      </c>
      <c r="L226">
        <f t="shared" si="53"/>
        <v>2.3240000000000083</v>
      </c>
      <c r="N226">
        <f t="shared" si="64"/>
        <v>288</v>
      </c>
      <c r="O226">
        <f t="shared" si="54"/>
        <v>2.3240000000000083</v>
      </c>
      <c r="Q226">
        <f t="shared" si="65"/>
        <v>288</v>
      </c>
      <c r="R226">
        <f t="shared" si="55"/>
        <v>1.724</v>
      </c>
      <c r="T226">
        <f t="shared" si="66"/>
        <v>288</v>
      </c>
      <c r="U226">
        <f t="shared" si="56"/>
        <v>2.0240000000000085</v>
      </c>
      <c r="W226">
        <f t="shared" si="67"/>
        <v>288</v>
      </c>
      <c r="X226">
        <f t="shared" si="57"/>
        <v>2.7240000000000082</v>
      </c>
      <c r="Z226">
        <f t="shared" si="68"/>
        <v>288</v>
      </c>
      <c r="AA226">
        <f t="shared" si="58"/>
        <v>2.4240000000000084</v>
      </c>
    </row>
    <row r="227" spans="2:27">
      <c r="B227">
        <f t="shared" si="60"/>
        <v>289</v>
      </c>
      <c r="C227">
        <v>2.4</v>
      </c>
      <c r="E227">
        <f t="shared" si="61"/>
        <v>289</v>
      </c>
      <c r="F227">
        <f t="shared" si="52"/>
        <v>2.4220000000000086</v>
      </c>
      <c r="H227">
        <f t="shared" si="62"/>
        <v>289</v>
      </c>
      <c r="I227">
        <f t="shared" si="59"/>
        <v>2.0776999999999872</v>
      </c>
      <c r="K227">
        <f t="shared" si="63"/>
        <v>289</v>
      </c>
      <c r="L227">
        <f t="shared" si="53"/>
        <v>2.3220000000000085</v>
      </c>
      <c r="N227">
        <f t="shared" si="64"/>
        <v>289</v>
      </c>
      <c r="O227">
        <f t="shared" si="54"/>
        <v>2.3220000000000085</v>
      </c>
      <c r="Q227">
        <f t="shared" si="65"/>
        <v>289</v>
      </c>
      <c r="R227">
        <f t="shared" si="55"/>
        <v>1.722</v>
      </c>
      <c r="T227">
        <f t="shared" si="66"/>
        <v>289</v>
      </c>
      <c r="U227">
        <f t="shared" si="56"/>
        <v>2.0220000000000087</v>
      </c>
      <c r="W227">
        <f t="shared" si="67"/>
        <v>289</v>
      </c>
      <c r="X227">
        <f t="shared" si="57"/>
        <v>2.7220000000000084</v>
      </c>
      <c r="Z227">
        <f t="shared" si="68"/>
        <v>289</v>
      </c>
      <c r="AA227">
        <f t="shared" si="58"/>
        <v>2.4220000000000086</v>
      </c>
    </row>
    <row r="228" spans="2:27">
      <c r="B228">
        <f t="shared" si="60"/>
        <v>290</v>
      </c>
      <c r="C228">
        <v>2.4</v>
      </c>
      <c r="E228">
        <f t="shared" si="61"/>
        <v>290</v>
      </c>
      <c r="F228">
        <f t="shared" si="52"/>
        <v>2.4200000000000088</v>
      </c>
      <c r="H228">
        <f t="shared" si="62"/>
        <v>290</v>
      </c>
      <c r="I228">
        <f t="shared" si="59"/>
        <v>2.0769999999999871</v>
      </c>
      <c r="K228">
        <f t="shared" si="63"/>
        <v>290</v>
      </c>
      <c r="L228">
        <f t="shared" si="53"/>
        <v>2.3200000000000087</v>
      </c>
      <c r="N228">
        <f t="shared" si="64"/>
        <v>290</v>
      </c>
      <c r="O228">
        <f t="shared" si="54"/>
        <v>2.3200000000000087</v>
      </c>
      <c r="Q228">
        <f t="shared" si="65"/>
        <v>290</v>
      </c>
      <c r="R228">
        <f t="shared" si="55"/>
        <v>1.72</v>
      </c>
      <c r="T228">
        <f t="shared" si="66"/>
        <v>290</v>
      </c>
      <c r="U228">
        <f t="shared" si="56"/>
        <v>2.0200000000000089</v>
      </c>
      <c r="W228">
        <f t="shared" si="67"/>
        <v>290</v>
      </c>
      <c r="X228">
        <f t="shared" si="57"/>
        <v>2.7200000000000086</v>
      </c>
      <c r="Z228">
        <f t="shared" si="68"/>
        <v>290</v>
      </c>
      <c r="AA228">
        <f t="shared" si="58"/>
        <v>2.4200000000000088</v>
      </c>
    </row>
    <row r="229" spans="2:27">
      <c r="B229">
        <f t="shared" si="60"/>
        <v>291</v>
      </c>
      <c r="C229">
        <v>2.4</v>
      </c>
      <c r="E229">
        <f t="shared" si="61"/>
        <v>291</v>
      </c>
      <c r="F229">
        <f t="shared" si="52"/>
        <v>2.418000000000009</v>
      </c>
      <c r="H229">
        <f t="shared" si="62"/>
        <v>291</v>
      </c>
      <c r="I229">
        <f t="shared" si="59"/>
        <v>2.0762999999999869</v>
      </c>
      <c r="K229">
        <f t="shared" si="63"/>
        <v>291</v>
      </c>
      <c r="L229">
        <f t="shared" si="53"/>
        <v>2.3180000000000089</v>
      </c>
      <c r="N229">
        <f t="shared" si="64"/>
        <v>291</v>
      </c>
      <c r="O229">
        <f t="shared" si="54"/>
        <v>2.3180000000000089</v>
      </c>
      <c r="Q229">
        <f t="shared" si="65"/>
        <v>291</v>
      </c>
      <c r="R229">
        <f t="shared" si="55"/>
        <v>1.718</v>
      </c>
      <c r="T229">
        <f t="shared" si="66"/>
        <v>291</v>
      </c>
      <c r="U229">
        <f t="shared" si="56"/>
        <v>2.0180000000000091</v>
      </c>
      <c r="W229">
        <f t="shared" si="67"/>
        <v>291</v>
      </c>
      <c r="X229">
        <f t="shared" si="57"/>
        <v>2.7180000000000089</v>
      </c>
      <c r="Z229">
        <f t="shared" si="68"/>
        <v>291</v>
      </c>
      <c r="AA229">
        <f t="shared" si="58"/>
        <v>2.418000000000009</v>
      </c>
    </row>
    <row r="230" spans="2:27">
      <c r="B230">
        <f t="shared" si="60"/>
        <v>292</v>
      </c>
      <c r="C230">
        <v>2.4</v>
      </c>
      <c r="E230">
        <f t="shared" si="61"/>
        <v>292</v>
      </c>
      <c r="F230">
        <f t="shared" si="52"/>
        <v>2.4160000000000093</v>
      </c>
      <c r="H230">
        <f t="shared" si="62"/>
        <v>292</v>
      </c>
      <c r="I230">
        <f t="shared" si="59"/>
        <v>2.0755999999999868</v>
      </c>
      <c r="K230">
        <f t="shared" si="63"/>
        <v>292</v>
      </c>
      <c r="L230">
        <f t="shared" si="53"/>
        <v>2.3160000000000092</v>
      </c>
      <c r="N230">
        <f t="shared" si="64"/>
        <v>292</v>
      </c>
      <c r="O230">
        <f t="shared" si="54"/>
        <v>2.3160000000000092</v>
      </c>
      <c r="Q230">
        <f t="shared" si="65"/>
        <v>292</v>
      </c>
      <c r="R230">
        <f t="shared" si="55"/>
        <v>1.716</v>
      </c>
      <c r="T230">
        <f t="shared" si="66"/>
        <v>292</v>
      </c>
      <c r="U230">
        <f t="shared" si="56"/>
        <v>2.0160000000000093</v>
      </c>
      <c r="W230">
        <f t="shared" si="67"/>
        <v>292</v>
      </c>
      <c r="X230">
        <f t="shared" si="57"/>
        <v>2.7160000000000091</v>
      </c>
      <c r="Z230">
        <f t="shared" si="68"/>
        <v>292</v>
      </c>
      <c r="AA230">
        <f t="shared" si="58"/>
        <v>2.4160000000000093</v>
      </c>
    </row>
    <row r="231" spans="2:27">
      <c r="B231">
        <f t="shared" si="60"/>
        <v>293</v>
      </c>
      <c r="C231">
        <v>2.4</v>
      </c>
      <c r="E231">
        <f t="shared" si="61"/>
        <v>293</v>
      </c>
      <c r="F231">
        <f t="shared" si="52"/>
        <v>2.4140000000000095</v>
      </c>
      <c r="H231">
        <f t="shared" si="62"/>
        <v>293</v>
      </c>
      <c r="I231">
        <f t="shared" si="59"/>
        <v>2.0748999999999866</v>
      </c>
      <c r="K231">
        <f t="shared" si="63"/>
        <v>293</v>
      </c>
      <c r="L231">
        <f t="shared" si="53"/>
        <v>2.3140000000000094</v>
      </c>
      <c r="N231">
        <f t="shared" si="64"/>
        <v>293</v>
      </c>
      <c r="O231">
        <f t="shared" si="54"/>
        <v>2.3140000000000094</v>
      </c>
      <c r="Q231">
        <f t="shared" si="65"/>
        <v>293</v>
      </c>
      <c r="R231">
        <f t="shared" si="55"/>
        <v>1.714</v>
      </c>
      <c r="T231">
        <f t="shared" si="66"/>
        <v>293</v>
      </c>
      <c r="U231">
        <f t="shared" si="56"/>
        <v>2.0140000000000096</v>
      </c>
      <c r="W231">
        <f t="shared" si="67"/>
        <v>293</v>
      </c>
      <c r="X231">
        <f t="shared" si="57"/>
        <v>2.7140000000000093</v>
      </c>
      <c r="Z231">
        <f t="shared" si="68"/>
        <v>293</v>
      </c>
      <c r="AA231">
        <f t="shared" si="58"/>
        <v>2.4140000000000095</v>
      </c>
    </row>
    <row r="232" spans="2:27">
      <c r="B232">
        <f t="shared" si="60"/>
        <v>294</v>
      </c>
      <c r="C232">
        <v>2.4</v>
      </c>
      <c r="E232">
        <f t="shared" si="61"/>
        <v>294</v>
      </c>
      <c r="F232">
        <f t="shared" si="52"/>
        <v>2.4120000000000097</v>
      </c>
      <c r="H232">
        <f t="shared" si="62"/>
        <v>294</v>
      </c>
      <c r="I232">
        <f t="shared" si="59"/>
        <v>2.0741999999999865</v>
      </c>
      <c r="K232">
        <f t="shared" si="63"/>
        <v>294</v>
      </c>
      <c r="L232">
        <f t="shared" si="53"/>
        <v>2.3120000000000096</v>
      </c>
      <c r="N232">
        <f t="shared" si="64"/>
        <v>294</v>
      </c>
      <c r="O232">
        <f t="shared" si="54"/>
        <v>2.3120000000000096</v>
      </c>
      <c r="Q232">
        <f t="shared" si="65"/>
        <v>294</v>
      </c>
      <c r="R232">
        <f t="shared" si="55"/>
        <v>1.712</v>
      </c>
      <c r="T232">
        <f t="shared" si="66"/>
        <v>294</v>
      </c>
      <c r="U232">
        <f t="shared" si="56"/>
        <v>2.0120000000000098</v>
      </c>
      <c r="W232">
        <f t="shared" si="67"/>
        <v>294</v>
      </c>
      <c r="X232">
        <f t="shared" si="57"/>
        <v>2.7120000000000095</v>
      </c>
      <c r="Z232">
        <f t="shared" si="68"/>
        <v>294</v>
      </c>
      <c r="AA232">
        <f t="shared" si="58"/>
        <v>2.4120000000000097</v>
      </c>
    </row>
    <row r="233" spans="2:27">
      <c r="B233">
        <f t="shared" si="60"/>
        <v>295</v>
      </c>
      <c r="C233">
        <v>2.4</v>
      </c>
      <c r="E233">
        <f t="shared" si="61"/>
        <v>295</v>
      </c>
      <c r="F233">
        <f t="shared" si="52"/>
        <v>2.4100000000000099</v>
      </c>
      <c r="H233">
        <f t="shared" si="62"/>
        <v>295</v>
      </c>
      <c r="I233">
        <f t="shared" si="59"/>
        <v>2.0734999999999864</v>
      </c>
      <c r="K233">
        <f t="shared" si="63"/>
        <v>295</v>
      </c>
      <c r="L233">
        <f t="shared" si="53"/>
        <v>2.3100000000000098</v>
      </c>
      <c r="N233">
        <f t="shared" si="64"/>
        <v>295</v>
      </c>
      <c r="O233">
        <f t="shared" si="54"/>
        <v>2.3100000000000098</v>
      </c>
      <c r="Q233">
        <f t="shared" si="65"/>
        <v>295</v>
      </c>
      <c r="R233">
        <f t="shared" si="55"/>
        <v>1.71</v>
      </c>
      <c r="T233">
        <f t="shared" si="66"/>
        <v>295</v>
      </c>
      <c r="U233">
        <f t="shared" si="56"/>
        <v>2.01000000000001</v>
      </c>
      <c r="W233">
        <f t="shared" si="67"/>
        <v>295</v>
      </c>
      <c r="X233">
        <f t="shared" si="57"/>
        <v>2.7100000000000097</v>
      </c>
      <c r="Z233">
        <f t="shared" si="68"/>
        <v>295</v>
      </c>
      <c r="AA233">
        <f t="shared" si="58"/>
        <v>2.4100000000000099</v>
      </c>
    </row>
    <row r="234" spans="2:27">
      <c r="B234">
        <f t="shared" si="60"/>
        <v>296</v>
      </c>
      <c r="C234">
        <v>2.4</v>
      </c>
      <c r="E234">
        <f t="shared" si="61"/>
        <v>296</v>
      </c>
      <c r="F234">
        <f t="shared" si="52"/>
        <v>2.4080000000000101</v>
      </c>
      <c r="H234">
        <f t="shared" si="62"/>
        <v>296</v>
      </c>
      <c r="I234">
        <f t="shared" si="59"/>
        <v>2.0727999999999862</v>
      </c>
      <c r="K234">
        <f t="shared" si="63"/>
        <v>296</v>
      </c>
      <c r="L234">
        <f t="shared" si="53"/>
        <v>2.30800000000001</v>
      </c>
      <c r="N234">
        <f t="shared" si="64"/>
        <v>296</v>
      </c>
      <c r="O234">
        <f t="shared" si="54"/>
        <v>2.30800000000001</v>
      </c>
      <c r="Q234">
        <f t="shared" si="65"/>
        <v>296</v>
      </c>
      <c r="R234">
        <f t="shared" si="55"/>
        <v>1.708</v>
      </c>
      <c r="T234">
        <f t="shared" si="66"/>
        <v>296</v>
      </c>
      <c r="U234">
        <f t="shared" si="56"/>
        <v>2.0080000000000102</v>
      </c>
      <c r="W234">
        <f t="shared" si="67"/>
        <v>296</v>
      </c>
      <c r="X234">
        <f t="shared" si="57"/>
        <v>2.70800000000001</v>
      </c>
      <c r="Z234">
        <f t="shared" si="68"/>
        <v>296</v>
      </c>
      <c r="AA234">
        <f t="shared" si="58"/>
        <v>2.4080000000000101</v>
      </c>
    </row>
    <row r="235" spans="2:27">
      <c r="B235">
        <f t="shared" si="60"/>
        <v>297</v>
      </c>
      <c r="C235">
        <v>2.4</v>
      </c>
      <c r="E235">
        <f t="shared" si="61"/>
        <v>297</v>
      </c>
      <c r="F235">
        <f t="shared" si="52"/>
        <v>2.4060000000000104</v>
      </c>
      <c r="H235">
        <f t="shared" si="62"/>
        <v>297</v>
      </c>
      <c r="I235">
        <f t="shared" si="59"/>
        <v>2.0720999999999861</v>
      </c>
      <c r="K235">
        <f t="shared" si="63"/>
        <v>297</v>
      </c>
      <c r="L235">
        <f t="shared" si="53"/>
        <v>2.3060000000000103</v>
      </c>
      <c r="N235">
        <f t="shared" si="64"/>
        <v>297</v>
      </c>
      <c r="O235">
        <f t="shared" si="54"/>
        <v>2.3060000000000103</v>
      </c>
      <c r="Q235">
        <f t="shared" si="65"/>
        <v>297</v>
      </c>
      <c r="R235">
        <f t="shared" si="55"/>
        <v>1.706</v>
      </c>
      <c r="T235">
        <f t="shared" si="66"/>
        <v>297</v>
      </c>
      <c r="U235">
        <f t="shared" si="56"/>
        <v>2.0060000000000104</v>
      </c>
      <c r="W235">
        <f t="shared" si="67"/>
        <v>297</v>
      </c>
      <c r="X235">
        <f t="shared" si="57"/>
        <v>2.7060000000000102</v>
      </c>
      <c r="Z235">
        <f t="shared" si="68"/>
        <v>297</v>
      </c>
      <c r="AA235">
        <f t="shared" si="58"/>
        <v>2.4060000000000104</v>
      </c>
    </row>
    <row r="236" spans="2:27">
      <c r="B236">
        <f t="shared" si="60"/>
        <v>298</v>
      </c>
      <c r="C236">
        <v>2.4</v>
      </c>
      <c r="E236">
        <f t="shared" si="61"/>
        <v>298</v>
      </c>
      <c r="F236">
        <f t="shared" si="52"/>
        <v>2.4040000000000106</v>
      </c>
      <c r="H236">
        <f t="shared" si="62"/>
        <v>298</v>
      </c>
      <c r="I236">
        <f t="shared" si="59"/>
        <v>2.0713999999999859</v>
      </c>
      <c r="K236">
        <f t="shared" si="63"/>
        <v>298</v>
      </c>
      <c r="L236">
        <f t="shared" si="53"/>
        <v>2.3040000000000105</v>
      </c>
      <c r="N236">
        <f t="shared" si="64"/>
        <v>298</v>
      </c>
      <c r="O236">
        <f t="shared" si="54"/>
        <v>2.3040000000000105</v>
      </c>
      <c r="Q236">
        <f t="shared" si="65"/>
        <v>298</v>
      </c>
      <c r="R236">
        <f t="shared" si="55"/>
        <v>1.704</v>
      </c>
      <c r="T236">
        <f t="shared" si="66"/>
        <v>298</v>
      </c>
      <c r="U236">
        <f t="shared" si="56"/>
        <v>2.0040000000000107</v>
      </c>
      <c r="W236">
        <f t="shared" si="67"/>
        <v>298</v>
      </c>
      <c r="X236">
        <f t="shared" si="57"/>
        <v>2.7040000000000104</v>
      </c>
      <c r="Z236">
        <f t="shared" si="68"/>
        <v>298</v>
      </c>
      <c r="AA236">
        <f t="shared" si="58"/>
        <v>2.4040000000000106</v>
      </c>
    </row>
    <row r="237" spans="2:27">
      <c r="B237">
        <f t="shared" si="60"/>
        <v>299</v>
      </c>
      <c r="C237">
        <v>2.4</v>
      </c>
      <c r="E237">
        <f t="shared" si="61"/>
        <v>299</v>
      </c>
      <c r="F237">
        <f t="shared" si="52"/>
        <v>2.4020000000000108</v>
      </c>
      <c r="H237">
        <f t="shared" si="62"/>
        <v>299</v>
      </c>
      <c r="I237">
        <f t="shared" si="59"/>
        <v>2.0706999999999858</v>
      </c>
      <c r="K237">
        <f t="shared" si="63"/>
        <v>299</v>
      </c>
      <c r="L237">
        <f t="shared" si="53"/>
        <v>2.3020000000000107</v>
      </c>
      <c r="N237">
        <f t="shared" si="64"/>
        <v>299</v>
      </c>
      <c r="O237">
        <f t="shared" si="54"/>
        <v>2.3020000000000107</v>
      </c>
      <c r="Q237">
        <f t="shared" si="65"/>
        <v>299</v>
      </c>
      <c r="R237">
        <f t="shared" si="55"/>
        <v>1.702</v>
      </c>
      <c r="T237">
        <f t="shared" si="66"/>
        <v>299</v>
      </c>
      <c r="U237">
        <f t="shared" si="56"/>
        <v>2.0020000000000109</v>
      </c>
      <c r="W237">
        <f t="shared" si="67"/>
        <v>299</v>
      </c>
      <c r="X237">
        <f t="shared" si="57"/>
        <v>2.7020000000000106</v>
      </c>
      <c r="Z237">
        <f t="shared" si="68"/>
        <v>299</v>
      </c>
      <c r="AA237">
        <f t="shared" si="58"/>
        <v>2.4020000000000108</v>
      </c>
    </row>
    <row r="238" spans="2:27">
      <c r="B238">
        <f t="shared" si="60"/>
        <v>300</v>
      </c>
      <c r="C238">
        <v>2.4</v>
      </c>
      <c r="E238">
        <f t="shared" si="61"/>
        <v>300</v>
      </c>
      <c r="F238">
        <v>2.4</v>
      </c>
      <c r="H238">
        <f t="shared" si="62"/>
        <v>300</v>
      </c>
      <c r="I238">
        <v>2.0699999999999998</v>
      </c>
      <c r="K238">
        <f t="shared" si="63"/>
        <v>300</v>
      </c>
      <c r="L238">
        <v>2.2999999999999998</v>
      </c>
      <c r="N238">
        <f t="shared" si="64"/>
        <v>300</v>
      </c>
      <c r="O238">
        <f t="shared" si="54"/>
        <v>2.3000000000000109</v>
      </c>
      <c r="Q238">
        <f t="shared" si="65"/>
        <v>300</v>
      </c>
      <c r="R238">
        <f t="shared" si="55"/>
        <v>1.7</v>
      </c>
      <c r="T238">
        <f t="shared" si="66"/>
        <v>300</v>
      </c>
      <c r="U238">
        <f t="shared" si="56"/>
        <v>2.0000000000000111</v>
      </c>
      <c r="W238">
        <f t="shared" si="67"/>
        <v>300</v>
      </c>
      <c r="X238">
        <f t="shared" si="57"/>
        <v>2.7000000000000108</v>
      </c>
      <c r="Z238">
        <f t="shared" si="68"/>
        <v>300</v>
      </c>
      <c r="AA238">
        <f t="shared" si="58"/>
        <v>2.400000000000011</v>
      </c>
    </row>
  </sheetData>
  <sheetProtection algorithmName="SHA-512" hashValue="og92x3aiOKVcsch1i5RYfEICiIwLF8icFIqljuw1jxhiKZscHoIX8SPXhULkUp7JacyNOGYUWOsj2egkdzMjjg==" saltValue="abWdJX50ReeKYIVUmKrexw==" spinCount="100000" sheet="1" objects="1" scenarios="1"/>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47F3B-FFCA-D14D-B991-20F21E69035F}">
  <sheetPr codeName="Sheet21"/>
  <dimension ref="B4:AJ226"/>
  <sheetViews>
    <sheetView workbookViewId="0"/>
  </sheetViews>
  <sheetFormatPr defaultColWidth="11" defaultRowHeight="15.5"/>
  <sheetData>
    <row r="4" spans="2:36">
      <c r="B4" t="s">
        <v>79</v>
      </c>
      <c r="C4" t="s">
        <v>73</v>
      </c>
      <c r="D4" t="s">
        <v>49</v>
      </c>
      <c r="F4" t="s">
        <v>79</v>
      </c>
      <c r="G4" t="s">
        <v>73</v>
      </c>
      <c r="H4" t="s">
        <v>250</v>
      </c>
      <c r="J4" t="s">
        <v>79</v>
      </c>
      <c r="K4" t="s">
        <v>73</v>
      </c>
      <c r="L4" t="s">
        <v>52</v>
      </c>
      <c r="N4" t="s">
        <v>79</v>
      </c>
      <c r="O4" t="s">
        <v>73</v>
      </c>
      <c r="P4" t="s">
        <v>34</v>
      </c>
      <c r="R4" t="s">
        <v>79</v>
      </c>
      <c r="S4" t="s">
        <v>73</v>
      </c>
      <c r="T4" t="s">
        <v>53</v>
      </c>
      <c r="V4" t="s">
        <v>79</v>
      </c>
      <c r="W4" t="s">
        <v>73</v>
      </c>
      <c r="X4" t="s">
        <v>246</v>
      </c>
      <c r="Z4" t="s">
        <v>79</v>
      </c>
      <c r="AA4" t="s">
        <v>73</v>
      </c>
      <c r="AB4" t="s">
        <v>55</v>
      </c>
      <c r="AD4" t="s">
        <v>79</v>
      </c>
      <c r="AE4" t="s">
        <v>73</v>
      </c>
      <c r="AF4" t="s">
        <v>251</v>
      </c>
      <c r="AH4" t="s">
        <v>79</v>
      </c>
      <c r="AI4" t="s">
        <v>73</v>
      </c>
      <c r="AJ4" t="s">
        <v>58</v>
      </c>
    </row>
    <row r="5" spans="2:36">
      <c r="B5">
        <v>0</v>
      </c>
      <c r="C5">
        <v>0</v>
      </c>
      <c r="D5">
        <f>'FOB Data'!C17</f>
        <v>3.3</v>
      </c>
      <c r="F5">
        <v>0</v>
      </c>
      <c r="G5">
        <v>0</v>
      </c>
      <c r="H5">
        <f>'FOB Data'!F17</f>
        <v>2.8</v>
      </c>
      <c r="J5">
        <f>'FOB Data'!H17</f>
        <v>0</v>
      </c>
      <c r="K5">
        <v>0</v>
      </c>
      <c r="L5">
        <f>'FOB Data'!I17</f>
        <v>2.52</v>
      </c>
      <c r="N5">
        <f>'FOB Data'!K17</f>
        <v>0</v>
      </c>
      <c r="O5">
        <v>0</v>
      </c>
      <c r="P5">
        <f>'FOB Data'!L17</f>
        <v>2.5</v>
      </c>
      <c r="R5">
        <f>'FOB Data'!N17</f>
        <v>0</v>
      </c>
      <c r="S5">
        <f>R5*T5</f>
        <v>0</v>
      </c>
      <c r="T5">
        <f>'FOB Data'!O17</f>
        <v>2.9</v>
      </c>
      <c r="V5">
        <f>'FOB Data'!Q17</f>
        <v>0</v>
      </c>
      <c r="W5">
        <f>V5*X5</f>
        <v>0</v>
      </c>
      <c r="X5">
        <f>'FOB Data'!R17</f>
        <v>1.9</v>
      </c>
      <c r="Z5">
        <f>V5</f>
        <v>0</v>
      </c>
      <c r="AA5">
        <f>Z5*AB5</f>
        <v>0</v>
      </c>
      <c r="AB5">
        <f>'FOB Data'!U17</f>
        <v>2.4</v>
      </c>
      <c r="AD5">
        <f>Z5</f>
        <v>0</v>
      </c>
      <c r="AE5">
        <f>AD5*AF5</f>
        <v>0</v>
      </c>
      <c r="AF5">
        <f>'FOB Data'!X17</f>
        <v>3</v>
      </c>
      <c r="AH5">
        <f>AD5</f>
        <v>0</v>
      </c>
      <c r="AI5">
        <f>AH5*AJ5</f>
        <v>0</v>
      </c>
      <c r="AJ5">
        <f>'FOB Data'!AA17</f>
        <v>4</v>
      </c>
    </row>
    <row r="6" spans="2:36">
      <c r="B6">
        <v>80</v>
      </c>
      <c r="C6">
        <f>B6*D6</f>
        <v>264</v>
      </c>
      <c r="D6">
        <f>'FOB Data'!C18</f>
        <v>3.3</v>
      </c>
      <c r="F6">
        <v>80</v>
      </c>
      <c r="G6">
        <f>F6*H6</f>
        <v>224</v>
      </c>
      <c r="H6">
        <f>'FOB Data'!F18</f>
        <v>2.8</v>
      </c>
      <c r="J6">
        <f>'FOB Data'!H18</f>
        <v>80</v>
      </c>
      <c r="K6">
        <f>J6*L6</f>
        <v>201.6</v>
      </c>
      <c r="L6">
        <f>'FOB Data'!I18</f>
        <v>2.52</v>
      </c>
      <c r="N6">
        <f>'FOB Data'!K18</f>
        <v>80</v>
      </c>
      <c r="O6">
        <f>N6*P6</f>
        <v>200</v>
      </c>
      <c r="P6">
        <f>'FOB Data'!L18</f>
        <v>2.5</v>
      </c>
      <c r="R6">
        <f>'FOB Data'!N18</f>
        <v>80</v>
      </c>
      <c r="S6">
        <f t="shared" ref="S6:S69" si="0">R6*T6</f>
        <v>232</v>
      </c>
      <c r="T6">
        <f>'FOB Data'!O18</f>
        <v>2.9</v>
      </c>
      <c r="V6">
        <f>'FOB Data'!Q18</f>
        <v>80</v>
      </c>
      <c r="W6">
        <f t="shared" ref="W6:W69" si="1">V6*X6</f>
        <v>152</v>
      </c>
      <c r="X6">
        <f>'FOB Data'!R18</f>
        <v>1.9</v>
      </c>
      <c r="Z6">
        <f t="shared" ref="Z6:Z69" si="2">V6</f>
        <v>80</v>
      </c>
      <c r="AA6">
        <f t="shared" ref="AA6:AA69" si="3">Z6*AB6</f>
        <v>192</v>
      </c>
      <c r="AB6">
        <f>'FOB Data'!U18</f>
        <v>2.4</v>
      </c>
      <c r="AD6">
        <f t="shared" ref="AD6:AD69" si="4">Z6</f>
        <v>80</v>
      </c>
      <c r="AE6">
        <f t="shared" ref="AE6:AE69" si="5">AD6*AF6</f>
        <v>240</v>
      </c>
      <c r="AF6">
        <f>'FOB Data'!X18</f>
        <v>3</v>
      </c>
      <c r="AH6">
        <f t="shared" ref="AH6:AH69" si="6">AD6</f>
        <v>80</v>
      </c>
      <c r="AI6">
        <f t="shared" ref="AI6:AI69" si="7">AH6*AJ6</f>
        <v>320</v>
      </c>
      <c r="AJ6">
        <f>'FOB Data'!AA18</f>
        <v>4</v>
      </c>
    </row>
    <row r="7" spans="2:36">
      <c r="B7">
        <f>B6+1</f>
        <v>81</v>
      </c>
      <c r="C7">
        <f t="shared" ref="C7:C70" si="8">B7*D7</f>
        <v>266.08499999999998</v>
      </c>
      <c r="D7">
        <f>'FOB Data'!C19</f>
        <v>3.2849999999999997</v>
      </c>
      <c r="F7">
        <f>F6+1</f>
        <v>81</v>
      </c>
      <c r="G7">
        <f t="shared" ref="G7:G70" si="9">F7*H7</f>
        <v>226.39499999999998</v>
      </c>
      <c r="H7">
        <f>'FOB Data'!F19</f>
        <v>2.7949999999999999</v>
      </c>
      <c r="J7">
        <f>'FOB Data'!H19</f>
        <v>81</v>
      </c>
      <c r="K7">
        <f t="shared" ref="K7:K70" si="10">J7*L7</f>
        <v>203.4315</v>
      </c>
      <c r="L7">
        <f>'FOB Data'!I19</f>
        <v>2.5114999999999998</v>
      </c>
      <c r="N7">
        <f>'FOB Data'!K19</f>
        <v>81</v>
      </c>
      <c r="O7">
        <f t="shared" ref="O7:O70" si="11">N7*P7</f>
        <v>202.5</v>
      </c>
      <c r="P7">
        <f>'FOB Data'!L19</f>
        <v>2.5</v>
      </c>
      <c r="R7">
        <f>'FOB Data'!N19</f>
        <v>81</v>
      </c>
      <c r="S7">
        <f t="shared" si="0"/>
        <v>234.09</v>
      </c>
      <c r="T7">
        <f>'FOB Data'!O19</f>
        <v>2.89</v>
      </c>
      <c r="V7">
        <f>'FOB Data'!Q19</f>
        <v>81</v>
      </c>
      <c r="W7">
        <f t="shared" si="1"/>
        <v>153.495</v>
      </c>
      <c r="X7">
        <f>'FOB Data'!R19</f>
        <v>1.895</v>
      </c>
      <c r="Z7">
        <f t="shared" si="2"/>
        <v>81</v>
      </c>
      <c r="AA7">
        <f t="shared" si="3"/>
        <v>193.995</v>
      </c>
      <c r="AB7">
        <f>'FOB Data'!U19</f>
        <v>2.395</v>
      </c>
      <c r="AD7">
        <f t="shared" si="4"/>
        <v>81</v>
      </c>
      <c r="AE7">
        <f t="shared" si="5"/>
        <v>242.595</v>
      </c>
      <c r="AF7">
        <f>'FOB Data'!X19</f>
        <v>2.9950000000000001</v>
      </c>
      <c r="AH7">
        <f t="shared" si="6"/>
        <v>81</v>
      </c>
      <c r="AI7">
        <f t="shared" si="7"/>
        <v>321.57</v>
      </c>
      <c r="AJ7">
        <f>'FOB Data'!AA19</f>
        <v>3.97</v>
      </c>
    </row>
    <row r="8" spans="2:36">
      <c r="B8">
        <f t="shared" ref="B8:B71" si="12">B7+1</f>
        <v>82</v>
      </c>
      <c r="C8">
        <f t="shared" si="8"/>
        <v>268.14</v>
      </c>
      <c r="D8">
        <f>'FOB Data'!C20</f>
        <v>3.2699999999999996</v>
      </c>
      <c r="F8">
        <f t="shared" ref="F8:F71" si="13">F7+1</f>
        <v>82</v>
      </c>
      <c r="G8">
        <f t="shared" si="9"/>
        <v>228.78</v>
      </c>
      <c r="H8">
        <f>'FOB Data'!F20</f>
        <v>2.79</v>
      </c>
      <c r="J8">
        <f>'FOB Data'!H20</f>
        <v>82</v>
      </c>
      <c r="K8">
        <f t="shared" si="10"/>
        <v>205.24599999999998</v>
      </c>
      <c r="L8">
        <f>'FOB Data'!I20</f>
        <v>2.5029999999999997</v>
      </c>
      <c r="N8">
        <f>'FOB Data'!K20</f>
        <v>82</v>
      </c>
      <c r="O8">
        <f t="shared" si="11"/>
        <v>205</v>
      </c>
      <c r="P8">
        <f>'FOB Data'!L20</f>
        <v>2.5</v>
      </c>
      <c r="R8">
        <f>'FOB Data'!N20</f>
        <v>82</v>
      </c>
      <c r="S8">
        <f t="shared" si="0"/>
        <v>236.16000000000003</v>
      </c>
      <c r="T8">
        <f>'FOB Data'!O20</f>
        <v>2.8800000000000003</v>
      </c>
      <c r="V8">
        <f>'FOB Data'!Q20</f>
        <v>82</v>
      </c>
      <c r="W8">
        <f t="shared" si="1"/>
        <v>154.98000000000002</v>
      </c>
      <c r="X8">
        <f>'FOB Data'!R20</f>
        <v>1.8900000000000001</v>
      </c>
      <c r="Z8">
        <f t="shared" si="2"/>
        <v>82</v>
      </c>
      <c r="AA8">
        <f t="shared" si="3"/>
        <v>195.98000000000002</v>
      </c>
      <c r="AB8">
        <f>'FOB Data'!U20</f>
        <v>2.39</v>
      </c>
      <c r="AD8">
        <f t="shared" si="4"/>
        <v>82</v>
      </c>
      <c r="AE8">
        <f t="shared" si="5"/>
        <v>245.18</v>
      </c>
      <c r="AF8">
        <f>'FOB Data'!X20</f>
        <v>2.99</v>
      </c>
      <c r="AH8">
        <f t="shared" si="6"/>
        <v>82</v>
      </c>
      <c r="AI8">
        <f t="shared" si="7"/>
        <v>323.08000000000004</v>
      </c>
      <c r="AJ8">
        <f>'FOB Data'!AA20</f>
        <v>3.9400000000000004</v>
      </c>
    </row>
    <row r="9" spans="2:36">
      <c r="B9">
        <f t="shared" si="12"/>
        <v>83</v>
      </c>
      <c r="C9">
        <f t="shared" si="8"/>
        <v>270.16499999999996</v>
      </c>
      <c r="D9">
        <f>'FOB Data'!C21</f>
        <v>3.2549999999999994</v>
      </c>
      <c r="F9">
        <f t="shared" si="13"/>
        <v>83</v>
      </c>
      <c r="G9">
        <f t="shared" si="9"/>
        <v>231.155</v>
      </c>
      <c r="H9">
        <f>'FOB Data'!F21</f>
        <v>2.7850000000000001</v>
      </c>
      <c r="J9">
        <f>'FOB Data'!H21</f>
        <v>83</v>
      </c>
      <c r="K9">
        <f t="shared" si="10"/>
        <v>207.04349999999997</v>
      </c>
      <c r="L9">
        <f>'FOB Data'!I21</f>
        <v>2.4944999999999995</v>
      </c>
      <c r="N9">
        <f>'FOB Data'!K21</f>
        <v>83</v>
      </c>
      <c r="O9">
        <f t="shared" si="11"/>
        <v>207.5</v>
      </c>
      <c r="P9">
        <f>'FOB Data'!L21</f>
        <v>2.5</v>
      </c>
      <c r="R9">
        <f>'FOB Data'!N21</f>
        <v>83</v>
      </c>
      <c r="S9">
        <f t="shared" si="0"/>
        <v>238.21000000000004</v>
      </c>
      <c r="T9">
        <f>'FOB Data'!O21</f>
        <v>2.8700000000000006</v>
      </c>
      <c r="V9">
        <f>'FOB Data'!Q21</f>
        <v>83</v>
      </c>
      <c r="W9">
        <f t="shared" si="1"/>
        <v>156.45500000000001</v>
      </c>
      <c r="X9">
        <f>'FOB Data'!R21</f>
        <v>1.8850000000000002</v>
      </c>
      <c r="Z9">
        <f t="shared" si="2"/>
        <v>83</v>
      </c>
      <c r="AA9">
        <f t="shared" si="3"/>
        <v>197.95500000000001</v>
      </c>
      <c r="AB9">
        <f>'FOB Data'!U21</f>
        <v>2.3850000000000002</v>
      </c>
      <c r="AD9">
        <f t="shared" si="4"/>
        <v>83</v>
      </c>
      <c r="AE9">
        <f t="shared" si="5"/>
        <v>247.75500000000002</v>
      </c>
      <c r="AF9">
        <f>'FOB Data'!X21</f>
        <v>2.9850000000000003</v>
      </c>
      <c r="AH9">
        <f t="shared" si="6"/>
        <v>83</v>
      </c>
      <c r="AI9">
        <f t="shared" si="7"/>
        <v>324.53000000000003</v>
      </c>
      <c r="AJ9">
        <f>'FOB Data'!AA21</f>
        <v>3.9100000000000006</v>
      </c>
    </row>
    <row r="10" spans="2:36">
      <c r="B10">
        <f t="shared" si="12"/>
        <v>84</v>
      </c>
      <c r="C10">
        <f t="shared" si="8"/>
        <v>272.15999999999997</v>
      </c>
      <c r="D10">
        <f>'FOB Data'!C22</f>
        <v>3.2399999999999993</v>
      </c>
      <c r="F10">
        <f t="shared" si="13"/>
        <v>84</v>
      </c>
      <c r="G10">
        <f t="shared" si="9"/>
        <v>233.52</v>
      </c>
      <c r="H10">
        <f>'FOB Data'!F22</f>
        <v>2.7800000000000002</v>
      </c>
      <c r="J10">
        <f>'FOB Data'!H22</f>
        <v>84</v>
      </c>
      <c r="K10">
        <f t="shared" si="10"/>
        <v>208.82399999999996</v>
      </c>
      <c r="L10">
        <f>'FOB Data'!I22</f>
        <v>2.4859999999999993</v>
      </c>
      <c r="N10">
        <f>'FOB Data'!K22</f>
        <v>84</v>
      </c>
      <c r="O10">
        <f t="shared" si="11"/>
        <v>210</v>
      </c>
      <c r="P10">
        <f>'FOB Data'!L22</f>
        <v>2.5</v>
      </c>
      <c r="R10">
        <f>'FOB Data'!N22</f>
        <v>84</v>
      </c>
      <c r="S10">
        <f t="shared" si="0"/>
        <v>240.24000000000007</v>
      </c>
      <c r="T10">
        <f>'FOB Data'!O22</f>
        <v>2.8600000000000008</v>
      </c>
      <c r="V10">
        <f>'FOB Data'!Q22</f>
        <v>84</v>
      </c>
      <c r="W10">
        <f t="shared" si="1"/>
        <v>157.92000000000002</v>
      </c>
      <c r="X10">
        <f>'FOB Data'!R22</f>
        <v>1.8800000000000003</v>
      </c>
      <c r="Z10">
        <f t="shared" si="2"/>
        <v>84</v>
      </c>
      <c r="AA10">
        <f t="shared" si="3"/>
        <v>199.92000000000002</v>
      </c>
      <c r="AB10">
        <f>'FOB Data'!U22</f>
        <v>2.3800000000000003</v>
      </c>
      <c r="AD10">
        <f t="shared" si="4"/>
        <v>84</v>
      </c>
      <c r="AE10">
        <f t="shared" si="5"/>
        <v>250.32000000000005</v>
      </c>
      <c r="AF10">
        <f>'FOB Data'!X22</f>
        <v>2.9800000000000004</v>
      </c>
      <c r="AH10">
        <f t="shared" si="6"/>
        <v>84</v>
      </c>
      <c r="AI10">
        <f t="shared" si="7"/>
        <v>325.92000000000007</v>
      </c>
      <c r="AJ10">
        <f>'FOB Data'!AA22</f>
        <v>3.8800000000000008</v>
      </c>
    </row>
    <row r="11" spans="2:36">
      <c r="B11">
        <f t="shared" si="12"/>
        <v>85</v>
      </c>
      <c r="C11">
        <f t="shared" si="8"/>
        <v>274.12499999999994</v>
      </c>
      <c r="D11">
        <f>'FOB Data'!C23</f>
        <v>3.2249999999999992</v>
      </c>
      <c r="F11">
        <f t="shared" si="13"/>
        <v>85</v>
      </c>
      <c r="G11">
        <f t="shared" si="9"/>
        <v>235.87500000000003</v>
      </c>
      <c r="H11">
        <f>'FOB Data'!F23</f>
        <v>2.7750000000000004</v>
      </c>
      <c r="J11">
        <f>'FOB Data'!H23</f>
        <v>85</v>
      </c>
      <c r="K11">
        <f t="shared" si="10"/>
        <v>210.58749999999992</v>
      </c>
      <c r="L11">
        <f>'FOB Data'!I23</f>
        <v>2.4774999999999991</v>
      </c>
      <c r="N11">
        <f>'FOB Data'!K23</f>
        <v>85</v>
      </c>
      <c r="O11">
        <f t="shared" si="11"/>
        <v>212.5</v>
      </c>
      <c r="P11">
        <f>'FOB Data'!L23</f>
        <v>2.5</v>
      </c>
      <c r="R11">
        <f>'FOB Data'!N23</f>
        <v>85</v>
      </c>
      <c r="S11">
        <f t="shared" si="0"/>
        <v>242.25000000000009</v>
      </c>
      <c r="T11">
        <f>'FOB Data'!O23</f>
        <v>2.850000000000001</v>
      </c>
      <c r="V11">
        <f>'FOB Data'!Q23</f>
        <v>85</v>
      </c>
      <c r="W11">
        <f t="shared" si="1"/>
        <v>159.37500000000003</v>
      </c>
      <c r="X11">
        <f>'FOB Data'!R23</f>
        <v>1.8750000000000004</v>
      </c>
      <c r="Z11">
        <f t="shared" si="2"/>
        <v>85</v>
      </c>
      <c r="AA11">
        <f t="shared" si="3"/>
        <v>201.87500000000003</v>
      </c>
      <c r="AB11">
        <f>'FOB Data'!U23</f>
        <v>2.3750000000000004</v>
      </c>
      <c r="AD11">
        <f t="shared" si="4"/>
        <v>85</v>
      </c>
      <c r="AE11">
        <f t="shared" si="5"/>
        <v>252.87500000000006</v>
      </c>
      <c r="AF11">
        <f>'FOB Data'!X23</f>
        <v>2.9750000000000005</v>
      </c>
      <c r="AH11">
        <f t="shared" si="6"/>
        <v>85</v>
      </c>
      <c r="AI11">
        <f t="shared" si="7"/>
        <v>327.25000000000006</v>
      </c>
      <c r="AJ11">
        <f>'FOB Data'!AA23</f>
        <v>3.850000000000001</v>
      </c>
    </row>
    <row r="12" spans="2:36">
      <c r="B12">
        <f t="shared" si="12"/>
        <v>86</v>
      </c>
      <c r="C12">
        <f t="shared" si="8"/>
        <v>276.05999999999995</v>
      </c>
      <c r="D12">
        <f>'FOB Data'!C24</f>
        <v>3.2099999999999991</v>
      </c>
      <c r="F12">
        <f t="shared" si="13"/>
        <v>86</v>
      </c>
      <c r="G12">
        <f t="shared" si="9"/>
        <v>238.22000000000003</v>
      </c>
      <c r="H12">
        <f>'FOB Data'!F24</f>
        <v>2.7700000000000005</v>
      </c>
      <c r="J12">
        <f>'FOB Data'!H24</f>
        <v>86</v>
      </c>
      <c r="K12">
        <f t="shared" si="10"/>
        <v>212.33399999999992</v>
      </c>
      <c r="L12">
        <f>'FOB Data'!I24</f>
        <v>2.468999999999999</v>
      </c>
      <c r="N12">
        <f>'FOB Data'!K24</f>
        <v>86</v>
      </c>
      <c r="O12">
        <f t="shared" si="11"/>
        <v>215</v>
      </c>
      <c r="P12">
        <f>'FOB Data'!L24</f>
        <v>2.5</v>
      </c>
      <c r="R12">
        <f>'FOB Data'!N24</f>
        <v>86</v>
      </c>
      <c r="S12">
        <f t="shared" si="0"/>
        <v>244.24000000000009</v>
      </c>
      <c r="T12">
        <f>'FOB Data'!O24</f>
        <v>2.8400000000000012</v>
      </c>
      <c r="V12">
        <f>'FOB Data'!Q24</f>
        <v>86</v>
      </c>
      <c r="W12">
        <f t="shared" si="1"/>
        <v>160.82000000000005</v>
      </c>
      <c r="X12">
        <f>'FOB Data'!R24</f>
        <v>1.8700000000000006</v>
      </c>
      <c r="Z12">
        <f t="shared" si="2"/>
        <v>86</v>
      </c>
      <c r="AA12">
        <f t="shared" si="3"/>
        <v>203.82000000000005</v>
      </c>
      <c r="AB12">
        <f>'FOB Data'!U24</f>
        <v>2.3700000000000006</v>
      </c>
      <c r="AD12">
        <f t="shared" si="4"/>
        <v>86</v>
      </c>
      <c r="AE12">
        <f t="shared" si="5"/>
        <v>255.42000000000004</v>
      </c>
      <c r="AF12">
        <f>'FOB Data'!X24</f>
        <v>2.9700000000000006</v>
      </c>
      <c r="AH12">
        <f t="shared" si="6"/>
        <v>86</v>
      </c>
      <c r="AI12">
        <f t="shared" si="7"/>
        <v>328.5200000000001</v>
      </c>
      <c r="AJ12">
        <f>'FOB Data'!AA24</f>
        <v>3.8200000000000012</v>
      </c>
    </row>
    <row r="13" spans="2:36">
      <c r="B13">
        <f t="shared" si="12"/>
        <v>87</v>
      </c>
      <c r="C13">
        <f t="shared" si="8"/>
        <v>277.96499999999992</v>
      </c>
      <c r="D13">
        <f>'FOB Data'!C25</f>
        <v>3.194999999999999</v>
      </c>
      <c r="F13">
        <f t="shared" si="13"/>
        <v>87</v>
      </c>
      <c r="G13">
        <f t="shared" si="9"/>
        <v>240.55500000000006</v>
      </c>
      <c r="H13">
        <f>'FOB Data'!F25</f>
        <v>2.7650000000000006</v>
      </c>
      <c r="J13">
        <f>'FOB Data'!H25</f>
        <v>87</v>
      </c>
      <c r="K13">
        <f t="shared" si="10"/>
        <v>214.06349999999989</v>
      </c>
      <c r="L13">
        <f>'FOB Data'!I25</f>
        <v>2.4604999999999988</v>
      </c>
      <c r="N13">
        <f>'FOB Data'!K25</f>
        <v>87</v>
      </c>
      <c r="O13">
        <f t="shared" si="11"/>
        <v>217.5</v>
      </c>
      <c r="P13">
        <f>'FOB Data'!L25</f>
        <v>2.5</v>
      </c>
      <c r="R13">
        <f>'FOB Data'!N25</f>
        <v>87</v>
      </c>
      <c r="S13">
        <f t="shared" si="0"/>
        <v>246.21000000000012</v>
      </c>
      <c r="T13">
        <f>'FOB Data'!O25</f>
        <v>2.8300000000000014</v>
      </c>
      <c r="V13">
        <f>'FOB Data'!Q25</f>
        <v>87</v>
      </c>
      <c r="W13">
        <f t="shared" si="1"/>
        <v>162.25500000000005</v>
      </c>
      <c r="X13">
        <f>'FOB Data'!R25</f>
        <v>1.8650000000000007</v>
      </c>
      <c r="Z13">
        <f t="shared" si="2"/>
        <v>87</v>
      </c>
      <c r="AA13">
        <f t="shared" si="3"/>
        <v>205.75500000000005</v>
      </c>
      <c r="AB13">
        <f>'FOB Data'!U25</f>
        <v>2.3650000000000007</v>
      </c>
      <c r="AD13">
        <f t="shared" si="4"/>
        <v>87</v>
      </c>
      <c r="AE13">
        <f t="shared" si="5"/>
        <v>257.95500000000004</v>
      </c>
      <c r="AF13">
        <f>'FOB Data'!X25</f>
        <v>2.9650000000000007</v>
      </c>
      <c r="AH13">
        <f t="shared" si="6"/>
        <v>87</v>
      </c>
      <c r="AI13">
        <f t="shared" si="7"/>
        <v>329.73000000000013</v>
      </c>
      <c r="AJ13">
        <f>'FOB Data'!AA25</f>
        <v>3.7900000000000014</v>
      </c>
    </row>
    <row r="14" spans="2:36">
      <c r="B14">
        <f t="shared" si="12"/>
        <v>88</v>
      </c>
      <c r="C14">
        <f t="shared" si="8"/>
        <v>279.83999999999992</v>
      </c>
      <c r="D14">
        <f>'FOB Data'!C26</f>
        <v>3.1799999999999988</v>
      </c>
      <c r="F14">
        <f t="shared" si="13"/>
        <v>88</v>
      </c>
      <c r="G14">
        <f t="shared" si="9"/>
        <v>242.88000000000005</v>
      </c>
      <c r="H14">
        <f>'FOB Data'!F26</f>
        <v>2.7600000000000007</v>
      </c>
      <c r="J14">
        <f>'FOB Data'!H26</f>
        <v>88</v>
      </c>
      <c r="K14">
        <f t="shared" si="10"/>
        <v>215.77599999999987</v>
      </c>
      <c r="L14">
        <f>'FOB Data'!I26</f>
        <v>2.4519999999999986</v>
      </c>
      <c r="N14">
        <f>'FOB Data'!K26</f>
        <v>88</v>
      </c>
      <c r="O14">
        <f t="shared" si="11"/>
        <v>220</v>
      </c>
      <c r="P14">
        <f>'FOB Data'!L26</f>
        <v>2.5</v>
      </c>
      <c r="R14">
        <f>'FOB Data'!N26</f>
        <v>88</v>
      </c>
      <c r="S14">
        <f t="shared" si="0"/>
        <v>248.16000000000014</v>
      </c>
      <c r="T14">
        <f>'FOB Data'!O26</f>
        <v>2.8200000000000016</v>
      </c>
      <c r="V14">
        <f>'FOB Data'!Q26</f>
        <v>88</v>
      </c>
      <c r="W14">
        <f t="shared" si="1"/>
        <v>163.68000000000006</v>
      </c>
      <c r="X14">
        <f>'FOB Data'!R26</f>
        <v>1.8600000000000008</v>
      </c>
      <c r="Z14">
        <f t="shared" si="2"/>
        <v>88</v>
      </c>
      <c r="AA14">
        <f t="shared" si="3"/>
        <v>207.68000000000006</v>
      </c>
      <c r="AB14">
        <f>'FOB Data'!U26</f>
        <v>2.3600000000000008</v>
      </c>
      <c r="AD14">
        <f t="shared" si="4"/>
        <v>88</v>
      </c>
      <c r="AE14">
        <f t="shared" si="5"/>
        <v>260.48000000000008</v>
      </c>
      <c r="AF14">
        <f>'FOB Data'!X26</f>
        <v>2.9600000000000009</v>
      </c>
      <c r="AH14">
        <f t="shared" si="6"/>
        <v>88</v>
      </c>
      <c r="AI14">
        <f t="shared" si="7"/>
        <v>330.88000000000011</v>
      </c>
      <c r="AJ14">
        <f>'FOB Data'!AA26</f>
        <v>3.7600000000000016</v>
      </c>
    </row>
    <row r="15" spans="2:36">
      <c r="B15">
        <f t="shared" si="12"/>
        <v>89</v>
      </c>
      <c r="C15">
        <f t="shared" si="8"/>
        <v>281.68499999999989</v>
      </c>
      <c r="D15">
        <f>'FOB Data'!C27</f>
        <v>3.1649999999999987</v>
      </c>
      <c r="F15">
        <f t="shared" si="13"/>
        <v>89</v>
      </c>
      <c r="G15">
        <f t="shared" si="9"/>
        <v>245.19500000000008</v>
      </c>
      <c r="H15">
        <f>'FOB Data'!F27</f>
        <v>2.7550000000000008</v>
      </c>
      <c r="J15">
        <f>'FOB Data'!H27</f>
        <v>89</v>
      </c>
      <c r="K15">
        <f t="shared" si="10"/>
        <v>217.47149999999985</v>
      </c>
      <c r="L15">
        <f>'FOB Data'!I27</f>
        <v>2.4434999999999985</v>
      </c>
      <c r="N15">
        <f>'FOB Data'!K27</f>
        <v>89</v>
      </c>
      <c r="O15">
        <f t="shared" si="11"/>
        <v>222.5</v>
      </c>
      <c r="P15">
        <f>'FOB Data'!L27</f>
        <v>2.5</v>
      </c>
      <c r="R15">
        <f>'FOB Data'!N27</f>
        <v>89</v>
      </c>
      <c r="S15">
        <f t="shared" si="0"/>
        <v>250.09000000000017</v>
      </c>
      <c r="T15">
        <f>'FOB Data'!O27</f>
        <v>2.8100000000000018</v>
      </c>
      <c r="V15">
        <f>'FOB Data'!Q27</f>
        <v>89</v>
      </c>
      <c r="W15">
        <f t="shared" si="1"/>
        <v>165.09500000000008</v>
      </c>
      <c r="X15">
        <f>'FOB Data'!R27</f>
        <v>1.8550000000000009</v>
      </c>
      <c r="Z15">
        <f t="shared" si="2"/>
        <v>89</v>
      </c>
      <c r="AA15">
        <f t="shared" si="3"/>
        <v>209.59500000000008</v>
      </c>
      <c r="AB15">
        <f>'FOB Data'!U27</f>
        <v>2.3550000000000009</v>
      </c>
      <c r="AD15">
        <f t="shared" si="4"/>
        <v>89</v>
      </c>
      <c r="AE15">
        <f t="shared" si="5"/>
        <v>262.99500000000006</v>
      </c>
      <c r="AF15">
        <f>'FOB Data'!X27</f>
        <v>2.955000000000001</v>
      </c>
      <c r="AH15">
        <f t="shared" si="6"/>
        <v>89</v>
      </c>
      <c r="AI15">
        <f t="shared" si="7"/>
        <v>331.97000000000014</v>
      </c>
      <c r="AJ15">
        <f>'FOB Data'!AA27</f>
        <v>3.7300000000000018</v>
      </c>
    </row>
    <row r="16" spans="2:36">
      <c r="B16">
        <f t="shared" si="12"/>
        <v>90</v>
      </c>
      <c r="C16">
        <f t="shared" si="8"/>
        <v>283.49999999999989</v>
      </c>
      <c r="D16">
        <f>'FOB Data'!C28</f>
        <v>3.1499999999999986</v>
      </c>
      <c r="F16">
        <f t="shared" si="13"/>
        <v>90</v>
      </c>
      <c r="G16">
        <f t="shared" si="9"/>
        <v>247.50000000000009</v>
      </c>
      <c r="H16">
        <f>'FOB Data'!F28</f>
        <v>2.7500000000000009</v>
      </c>
      <c r="J16">
        <f>'FOB Data'!H28</f>
        <v>90</v>
      </c>
      <c r="K16">
        <f t="shared" si="10"/>
        <v>219.14999999999984</v>
      </c>
      <c r="L16">
        <f>'FOB Data'!I28</f>
        <v>2.4349999999999983</v>
      </c>
      <c r="N16">
        <f>'FOB Data'!K28</f>
        <v>90</v>
      </c>
      <c r="O16">
        <f t="shared" si="11"/>
        <v>225</v>
      </c>
      <c r="P16">
        <f>'FOB Data'!L28</f>
        <v>2.5</v>
      </c>
      <c r="R16">
        <f>'FOB Data'!N28</f>
        <v>90</v>
      </c>
      <c r="S16">
        <f t="shared" si="0"/>
        <v>252.00000000000017</v>
      </c>
      <c r="T16">
        <f>'FOB Data'!O28</f>
        <v>2.800000000000002</v>
      </c>
      <c r="V16">
        <f>'FOB Data'!Q28</f>
        <v>90</v>
      </c>
      <c r="W16">
        <f t="shared" si="1"/>
        <v>166.50000000000009</v>
      </c>
      <c r="X16">
        <f>'FOB Data'!R28</f>
        <v>1.850000000000001</v>
      </c>
      <c r="Z16">
        <f t="shared" si="2"/>
        <v>90</v>
      </c>
      <c r="AA16">
        <f t="shared" si="3"/>
        <v>211.50000000000009</v>
      </c>
      <c r="AB16">
        <f>'FOB Data'!U28</f>
        <v>2.350000000000001</v>
      </c>
      <c r="AD16">
        <f t="shared" si="4"/>
        <v>90</v>
      </c>
      <c r="AE16">
        <f t="shared" si="5"/>
        <v>265.50000000000011</v>
      </c>
      <c r="AF16">
        <f>'FOB Data'!X28</f>
        <v>2.9500000000000011</v>
      </c>
      <c r="AH16">
        <f t="shared" si="6"/>
        <v>90</v>
      </c>
      <c r="AI16">
        <f t="shared" si="7"/>
        <v>333.00000000000017</v>
      </c>
      <c r="AJ16">
        <f>'FOB Data'!AA28</f>
        <v>3.700000000000002</v>
      </c>
    </row>
    <row r="17" spans="2:36">
      <c r="B17">
        <f t="shared" si="12"/>
        <v>91</v>
      </c>
      <c r="C17">
        <f t="shared" si="8"/>
        <v>285.28499999999985</v>
      </c>
      <c r="D17">
        <f>'FOB Data'!C29</f>
        <v>3.1349999999999985</v>
      </c>
      <c r="F17">
        <f t="shared" si="13"/>
        <v>91</v>
      </c>
      <c r="G17">
        <f t="shared" si="9"/>
        <v>249.7950000000001</v>
      </c>
      <c r="H17">
        <f>'FOB Data'!F29</f>
        <v>2.745000000000001</v>
      </c>
      <c r="J17">
        <f>'FOB Data'!H29</f>
        <v>91</v>
      </c>
      <c r="K17">
        <f t="shared" si="10"/>
        <v>220.81149999999982</v>
      </c>
      <c r="L17">
        <f>'FOB Data'!I29</f>
        <v>2.4264999999999981</v>
      </c>
      <c r="N17">
        <f>'FOB Data'!K29</f>
        <v>91</v>
      </c>
      <c r="O17">
        <f t="shared" si="11"/>
        <v>227.5</v>
      </c>
      <c r="P17">
        <f>'FOB Data'!L29</f>
        <v>2.5</v>
      </c>
      <c r="R17">
        <f>'FOB Data'!N29</f>
        <v>91</v>
      </c>
      <c r="S17">
        <f t="shared" si="0"/>
        <v>253.89000000000021</v>
      </c>
      <c r="T17">
        <f>'FOB Data'!O29</f>
        <v>2.7900000000000023</v>
      </c>
      <c r="V17">
        <f>'FOB Data'!Q29</f>
        <v>91</v>
      </c>
      <c r="W17">
        <f t="shared" si="1"/>
        <v>167.8950000000001</v>
      </c>
      <c r="X17">
        <f>'FOB Data'!R29</f>
        <v>1.8450000000000011</v>
      </c>
      <c r="Z17">
        <f t="shared" si="2"/>
        <v>91</v>
      </c>
      <c r="AA17">
        <f t="shared" si="3"/>
        <v>213.3950000000001</v>
      </c>
      <c r="AB17">
        <f>'FOB Data'!U29</f>
        <v>2.3450000000000011</v>
      </c>
      <c r="AD17">
        <f t="shared" si="4"/>
        <v>91</v>
      </c>
      <c r="AE17">
        <f t="shared" si="5"/>
        <v>267.99500000000012</v>
      </c>
      <c r="AF17">
        <f>'FOB Data'!X29</f>
        <v>2.9450000000000012</v>
      </c>
      <c r="AH17">
        <f t="shared" si="6"/>
        <v>91</v>
      </c>
      <c r="AI17">
        <f t="shared" si="7"/>
        <v>333.9700000000002</v>
      </c>
      <c r="AJ17">
        <f>'FOB Data'!AA29</f>
        <v>3.6700000000000021</v>
      </c>
    </row>
    <row r="18" spans="2:36">
      <c r="B18">
        <f t="shared" si="12"/>
        <v>92</v>
      </c>
      <c r="C18">
        <f t="shared" si="8"/>
        <v>287.03999999999985</v>
      </c>
      <c r="D18">
        <f>'FOB Data'!C30</f>
        <v>3.1199999999999983</v>
      </c>
      <c r="F18">
        <f t="shared" si="13"/>
        <v>92</v>
      </c>
      <c r="G18">
        <f t="shared" si="9"/>
        <v>252.0800000000001</v>
      </c>
      <c r="H18">
        <f>'FOB Data'!F30</f>
        <v>2.7400000000000011</v>
      </c>
      <c r="J18">
        <f>'FOB Data'!H30</f>
        <v>92</v>
      </c>
      <c r="K18">
        <f t="shared" si="10"/>
        <v>222.45599999999982</v>
      </c>
      <c r="L18">
        <f>'FOB Data'!I30</f>
        <v>2.4179999999999979</v>
      </c>
      <c r="N18">
        <f>'FOB Data'!K30</f>
        <v>92</v>
      </c>
      <c r="O18">
        <f t="shared" si="11"/>
        <v>230</v>
      </c>
      <c r="P18">
        <f>'FOB Data'!L30</f>
        <v>2.5</v>
      </c>
      <c r="R18">
        <f>'FOB Data'!N30</f>
        <v>92</v>
      </c>
      <c r="S18">
        <f t="shared" si="0"/>
        <v>255.76000000000022</v>
      </c>
      <c r="T18">
        <f>'FOB Data'!O30</f>
        <v>2.7800000000000025</v>
      </c>
      <c r="V18">
        <f>'FOB Data'!Q30</f>
        <v>92</v>
      </c>
      <c r="W18">
        <f t="shared" si="1"/>
        <v>169.28000000000011</v>
      </c>
      <c r="X18">
        <f>'FOB Data'!R30</f>
        <v>1.8400000000000012</v>
      </c>
      <c r="Z18">
        <f t="shared" si="2"/>
        <v>92</v>
      </c>
      <c r="AA18">
        <f t="shared" si="3"/>
        <v>215.28000000000011</v>
      </c>
      <c r="AB18">
        <f>'FOB Data'!U30</f>
        <v>2.3400000000000012</v>
      </c>
      <c r="AD18">
        <f t="shared" si="4"/>
        <v>92</v>
      </c>
      <c r="AE18">
        <f t="shared" si="5"/>
        <v>270.48000000000013</v>
      </c>
      <c r="AF18">
        <f>'FOB Data'!X30</f>
        <v>2.9400000000000013</v>
      </c>
      <c r="AH18">
        <f t="shared" si="6"/>
        <v>92</v>
      </c>
      <c r="AI18">
        <f t="shared" si="7"/>
        <v>334.88000000000022</v>
      </c>
      <c r="AJ18">
        <f>'FOB Data'!AA30</f>
        <v>3.6400000000000023</v>
      </c>
    </row>
    <row r="19" spans="2:36">
      <c r="B19">
        <f t="shared" si="12"/>
        <v>93</v>
      </c>
      <c r="C19">
        <f t="shared" si="8"/>
        <v>288.76499999999982</v>
      </c>
      <c r="D19">
        <f>'FOB Data'!C31</f>
        <v>3.1049999999999982</v>
      </c>
      <c r="F19">
        <f t="shared" si="13"/>
        <v>93</v>
      </c>
      <c r="G19">
        <f t="shared" si="9"/>
        <v>254.3550000000001</v>
      </c>
      <c r="H19">
        <f>'FOB Data'!F31</f>
        <v>2.7350000000000012</v>
      </c>
      <c r="J19">
        <f>'FOB Data'!H31</f>
        <v>93</v>
      </c>
      <c r="K19">
        <f t="shared" si="10"/>
        <v>224.08349999999979</v>
      </c>
      <c r="L19">
        <f>'FOB Data'!I31</f>
        <v>2.4094999999999978</v>
      </c>
      <c r="N19">
        <f>'FOB Data'!K31</f>
        <v>93</v>
      </c>
      <c r="O19">
        <f t="shared" si="11"/>
        <v>232.5</v>
      </c>
      <c r="P19">
        <f>'FOB Data'!L31</f>
        <v>2.5</v>
      </c>
      <c r="R19">
        <f>'FOB Data'!N31</f>
        <v>93</v>
      </c>
      <c r="S19">
        <f t="shared" si="0"/>
        <v>257.61000000000024</v>
      </c>
      <c r="T19">
        <f>'FOB Data'!O31</f>
        <v>2.7700000000000027</v>
      </c>
      <c r="V19">
        <f>'FOB Data'!Q31</f>
        <v>93</v>
      </c>
      <c r="W19">
        <f t="shared" si="1"/>
        <v>170.65500000000011</v>
      </c>
      <c r="X19">
        <f>'FOB Data'!R31</f>
        <v>1.8350000000000013</v>
      </c>
      <c r="Z19">
        <f t="shared" si="2"/>
        <v>93</v>
      </c>
      <c r="AA19">
        <f t="shared" si="3"/>
        <v>217.15500000000011</v>
      </c>
      <c r="AB19">
        <f>'FOB Data'!U31</f>
        <v>2.3350000000000013</v>
      </c>
      <c r="AD19">
        <f t="shared" si="4"/>
        <v>93</v>
      </c>
      <c r="AE19">
        <f t="shared" si="5"/>
        <v>272.95500000000015</v>
      </c>
      <c r="AF19">
        <f>'FOB Data'!X31</f>
        <v>2.9350000000000014</v>
      </c>
      <c r="AH19">
        <f t="shared" si="6"/>
        <v>93</v>
      </c>
      <c r="AI19">
        <f t="shared" si="7"/>
        <v>335.73000000000025</v>
      </c>
      <c r="AJ19">
        <f>'FOB Data'!AA31</f>
        <v>3.6100000000000025</v>
      </c>
    </row>
    <row r="20" spans="2:36">
      <c r="B20">
        <f t="shared" si="12"/>
        <v>94</v>
      </c>
      <c r="C20">
        <f t="shared" si="8"/>
        <v>290.45999999999981</v>
      </c>
      <c r="D20">
        <f>'FOB Data'!C32</f>
        <v>3.0899999999999981</v>
      </c>
      <c r="F20">
        <f t="shared" si="13"/>
        <v>94</v>
      </c>
      <c r="G20">
        <f t="shared" si="9"/>
        <v>256.62000000000012</v>
      </c>
      <c r="H20">
        <f>'FOB Data'!F32</f>
        <v>2.7300000000000013</v>
      </c>
      <c r="J20">
        <f>'FOB Data'!H32</f>
        <v>94</v>
      </c>
      <c r="K20">
        <f t="shared" si="10"/>
        <v>225.69399999999976</v>
      </c>
      <c r="L20">
        <f>'FOB Data'!I32</f>
        <v>2.4009999999999976</v>
      </c>
      <c r="N20">
        <f>'FOB Data'!K32</f>
        <v>94</v>
      </c>
      <c r="O20">
        <f t="shared" si="11"/>
        <v>235</v>
      </c>
      <c r="P20">
        <f>'FOB Data'!L32</f>
        <v>2.5</v>
      </c>
      <c r="R20">
        <f>'FOB Data'!N32</f>
        <v>94</v>
      </c>
      <c r="S20">
        <f t="shared" si="0"/>
        <v>259.44000000000028</v>
      </c>
      <c r="T20">
        <f>'FOB Data'!O32</f>
        <v>2.7600000000000029</v>
      </c>
      <c r="V20">
        <f>'FOB Data'!Q32</f>
        <v>94</v>
      </c>
      <c r="W20">
        <f t="shared" si="1"/>
        <v>172.02000000000012</v>
      </c>
      <c r="X20">
        <f>'FOB Data'!R32</f>
        <v>1.8300000000000014</v>
      </c>
      <c r="Z20">
        <f t="shared" si="2"/>
        <v>94</v>
      </c>
      <c r="AA20">
        <f t="shared" si="3"/>
        <v>219.02000000000012</v>
      </c>
      <c r="AB20">
        <f>'FOB Data'!U32</f>
        <v>2.3300000000000014</v>
      </c>
      <c r="AD20">
        <f t="shared" si="4"/>
        <v>94</v>
      </c>
      <c r="AE20">
        <f t="shared" si="5"/>
        <v>275.42000000000013</v>
      </c>
      <c r="AF20">
        <f>'FOB Data'!X32</f>
        <v>2.9300000000000015</v>
      </c>
      <c r="AH20">
        <f t="shared" si="6"/>
        <v>94</v>
      </c>
      <c r="AI20">
        <f t="shared" si="7"/>
        <v>336.52000000000027</v>
      </c>
      <c r="AJ20">
        <f>'FOB Data'!AA32</f>
        <v>3.5800000000000027</v>
      </c>
    </row>
    <row r="21" spans="2:36">
      <c r="B21">
        <f t="shared" si="12"/>
        <v>95</v>
      </c>
      <c r="C21">
        <f t="shared" si="8"/>
        <v>292.12499999999983</v>
      </c>
      <c r="D21">
        <f>'FOB Data'!C33</f>
        <v>3.074999999999998</v>
      </c>
      <c r="F21">
        <f t="shared" si="13"/>
        <v>95</v>
      </c>
      <c r="G21">
        <f t="shared" si="9"/>
        <v>258.87500000000011</v>
      </c>
      <c r="H21">
        <f>'FOB Data'!F33</f>
        <v>2.7250000000000014</v>
      </c>
      <c r="J21">
        <f>'FOB Data'!H33</f>
        <v>95</v>
      </c>
      <c r="K21">
        <f t="shared" si="10"/>
        <v>227.28749999999977</v>
      </c>
      <c r="L21">
        <f>'FOB Data'!I33</f>
        <v>2.3924999999999974</v>
      </c>
      <c r="N21">
        <f>'FOB Data'!K33</f>
        <v>95</v>
      </c>
      <c r="O21">
        <f t="shared" si="11"/>
        <v>237.5</v>
      </c>
      <c r="P21">
        <f>'FOB Data'!L33</f>
        <v>2.5</v>
      </c>
      <c r="R21">
        <f>'FOB Data'!N33</f>
        <v>95</v>
      </c>
      <c r="S21">
        <f t="shared" si="0"/>
        <v>261.25000000000028</v>
      </c>
      <c r="T21">
        <f>'FOB Data'!O33</f>
        <v>2.7500000000000031</v>
      </c>
      <c r="V21">
        <f>'FOB Data'!Q33</f>
        <v>95</v>
      </c>
      <c r="W21">
        <f t="shared" si="1"/>
        <v>173.37500000000014</v>
      </c>
      <c r="X21">
        <f>'FOB Data'!R33</f>
        <v>1.8250000000000015</v>
      </c>
      <c r="Z21">
        <f t="shared" si="2"/>
        <v>95</v>
      </c>
      <c r="AA21">
        <f t="shared" si="3"/>
        <v>220.87500000000014</v>
      </c>
      <c r="AB21">
        <f>'FOB Data'!U33</f>
        <v>2.3250000000000015</v>
      </c>
      <c r="AD21">
        <f t="shared" si="4"/>
        <v>95</v>
      </c>
      <c r="AE21">
        <f t="shared" si="5"/>
        <v>277.87500000000017</v>
      </c>
      <c r="AF21">
        <f>'FOB Data'!X33</f>
        <v>2.9250000000000016</v>
      </c>
      <c r="AH21">
        <f t="shared" si="6"/>
        <v>95</v>
      </c>
      <c r="AI21">
        <f t="shared" si="7"/>
        <v>337.25000000000028</v>
      </c>
      <c r="AJ21">
        <f>'FOB Data'!AA33</f>
        <v>3.5500000000000029</v>
      </c>
    </row>
    <row r="22" spans="2:36">
      <c r="B22">
        <f t="shared" si="12"/>
        <v>96</v>
      </c>
      <c r="C22">
        <f t="shared" si="8"/>
        <v>293.75999999999976</v>
      </c>
      <c r="D22">
        <f>'FOB Data'!C34</f>
        <v>3.0599999999999978</v>
      </c>
      <c r="F22">
        <f t="shared" si="13"/>
        <v>96</v>
      </c>
      <c r="G22">
        <f t="shared" si="9"/>
        <v>261.12000000000012</v>
      </c>
      <c r="H22">
        <f>'FOB Data'!F34</f>
        <v>2.7200000000000015</v>
      </c>
      <c r="J22">
        <f>'FOB Data'!H34</f>
        <v>96</v>
      </c>
      <c r="K22">
        <f t="shared" si="10"/>
        <v>228.86399999999975</v>
      </c>
      <c r="L22">
        <f>'FOB Data'!I34</f>
        <v>2.3839999999999972</v>
      </c>
      <c r="N22">
        <f>'FOB Data'!K34</f>
        <v>96</v>
      </c>
      <c r="O22">
        <f t="shared" si="11"/>
        <v>240</v>
      </c>
      <c r="P22">
        <f>'FOB Data'!L34</f>
        <v>2.5</v>
      </c>
      <c r="R22">
        <f>'FOB Data'!N34</f>
        <v>96</v>
      </c>
      <c r="S22">
        <f t="shared" si="0"/>
        <v>263.0400000000003</v>
      </c>
      <c r="T22">
        <f>'FOB Data'!O34</f>
        <v>2.7400000000000033</v>
      </c>
      <c r="V22">
        <f>'FOB Data'!Q34</f>
        <v>96</v>
      </c>
      <c r="W22">
        <f t="shared" si="1"/>
        <v>174.72000000000014</v>
      </c>
      <c r="X22">
        <f>'FOB Data'!R34</f>
        <v>1.8200000000000016</v>
      </c>
      <c r="Z22">
        <f t="shared" si="2"/>
        <v>96</v>
      </c>
      <c r="AA22">
        <f t="shared" si="3"/>
        <v>222.72000000000014</v>
      </c>
      <c r="AB22">
        <f>'FOB Data'!U34</f>
        <v>2.3200000000000016</v>
      </c>
      <c r="AD22">
        <f t="shared" si="4"/>
        <v>96</v>
      </c>
      <c r="AE22">
        <f t="shared" si="5"/>
        <v>280.32000000000016</v>
      </c>
      <c r="AF22">
        <f>'FOB Data'!X34</f>
        <v>2.9200000000000017</v>
      </c>
      <c r="AH22">
        <f t="shared" si="6"/>
        <v>96</v>
      </c>
      <c r="AI22">
        <f t="shared" si="7"/>
        <v>337.9200000000003</v>
      </c>
      <c r="AJ22">
        <f>'FOB Data'!AA34</f>
        <v>3.5200000000000031</v>
      </c>
    </row>
    <row r="23" spans="2:36">
      <c r="B23">
        <f t="shared" si="12"/>
        <v>97</v>
      </c>
      <c r="C23">
        <f t="shared" si="8"/>
        <v>295.36499999999978</v>
      </c>
      <c r="D23">
        <f>'FOB Data'!C35</f>
        <v>3.0449999999999977</v>
      </c>
      <c r="F23">
        <f t="shared" si="13"/>
        <v>97</v>
      </c>
      <c r="G23">
        <f t="shared" si="9"/>
        <v>263.35500000000013</v>
      </c>
      <c r="H23">
        <f>'FOB Data'!F35</f>
        <v>2.7150000000000016</v>
      </c>
      <c r="J23">
        <f>'FOB Data'!H35</f>
        <v>97</v>
      </c>
      <c r="K23">
        <f t="shared" si="10"/>
        <v>230.42349999999971</v>
      </c>
      <c r="L23">
        <f>'FOB Data'!I35</f>
        <v>2.3754999999999971</v>
      </c>
      <c r="N23">
        <f>'FOB Data'!K35</f>
        <v>97</v>
      </c>
      <c r="O23">
        <f t="shared" si="11"/>
        <v>242.5</v>
      </c>
      <c r="P23">
        <f>'FOB Data'!L35</f>
        <v>2.5</v>
      </c>
      <c r="R23">
        <f>'FOB Data'!N35</f>
        <v>97</v>
      </c>
      <c r="S23">
        <f t="shared" si="0"/>
        <v>264.81000000000034</v>
      </c>
      <c r="T23">
        <f>'FOB Data'!O35</f>
        <v>2.7300000000000035</v>
      </c>
      <c r="V23">
        <f>'FOB Data'!Q35</f>
        <v>97</v>
      </c>
      <c r="W23">
        <f t="shared" si="1"/>
        <v>176.05500000000018</v>
      </c>
      <c r="X23">
        <f>'FOB Data'!R35</f>
        <v>1.8150000000000017</v>
      </c>
      <c r="Z23">
        <f t="shared" si="2"/>
        <v>97</v>
      </c>
      <c r="AA23">
        <f t="shared" si="3"/>
        <v>224.55500000000018</v>
      </c>
      <c r="AB23">
        <f>'FOB Data'!U35</f>
        <v>2.3150000000000017</v>
      </c>
      <c r="AD23">
        <f t="shared" si="4"/>
        <v>97</v>
      </c>
      <c r="AE23">
        <f t="shared" si="5"/>
        <v>282.75500000000017</v>
      </c>
      <c r="AF23">
        <f>'FOB Data'!X35</f>
        <v>2.9150000000000018</v>
      </c>
      <c r="AH23">
        <f t="shared" si="6"/>
        <v>97</v>
      </c>
      <c r="AI23">
        <f t="shared" si="7"/>
        <v>338.53000000000031</v>
      </c>
      <c r="AJ23">
        <f>'FOB Data'!AA35</f>
        <v>3.4900000000000033</v>
      </c>
    </row>
    <row r="24" spans="2:36">
      <c r="B24">
        <f t="shared" si="12"/>
        <v>98</v>
      </c>
      <c r="C24">
        <f t="shared" si="8"/>
        <v>296.93999999999977</v>
      </c>
      <c r="D24">
        <f>'FOB Data'!C36</f>
        <v>3.0299999999999976</v>
      </c>
      <c r="F24">
        <f t="shared" si="13"/>
        <v>98</v>
      </c>
      <c r="G24">
        <f t="shared" si="9"/>
        <v>265.58000000000015</v>
      </c>
      <c r="H24">
        <f>'FOB Data'!F36</f>
        <v>2.7100000000000017</v>
      </c>
      <c r="J24">
        <f>'FOB Data'!H36</f>
        <v>98</v>
      </c>
      <c r="K24">
        <f t="shared" si="10"/>
        <v>231.9659999999997</v>
      </c>
      <c r="L24">
        <f>'FOB Data'!I36</f>
        <v>2.3669999999999969</v>
      </c>
      <c r="N24">
        <f>'FOB Data'!K36</f>
        <v>98</v>
      </c>
      <c r="O24">
        <f t="shared" si="11"/>
        <v>245</v>
      </c>
      <c r="P24">
        <f>'FOB Data'!L36</f>
        <v>2.5</v>
      </c>
      <c r="R24">
        <f>'FOB Data'!N36</f>
        <v>98</v>
      </c>
      <c r="S24">
        <f t="shared" si="0"/>
        <v>266.56000000000034</v>
      </c>
      <c r="T24">
        <f>'FOB Data'!O36</f>
        <v>2.7200000000000037</v>
      </c>
      <c r="V24">
        <f>'FOB Data'!Q36</f>
        <v>98</v>
      </c>
      <c r="W24">
        <f t="shared" si="1"/>
        <v>177.38000000000017</v>
      </c>
      <c r="X24">
        <f>'FOB Data'!R36</f>
        <v>1.8100000000000018</v>
      </c>
      <c r="Z24">
        <f t="shared" si="2"/>
        <v>98</v>
      </c>
      <c r="AA24">
        <f t="shared" si="3"/>
        <v>226.38000000000017</v>
      </c>
      <c r="AB24">
        <f>'FOB Data'!U36</f>
        <v>2.3100000000000018</v>
      </c>
      <c r="AD24">
        <f t="shared" si="4"/>
        <v>98</v>
      </c>
      <c r="AE24">
        <f t="shared" si="5"/>
        <v>285.18000000000018</v>
      </c>
      <c r="AF24">
        <f>'FOB Data'!X36</f>
        <v>2.9100000000000019</v>
      </c>
      <c r="AH24">
        <f t="shared" si="6"/>
        <v>98</v>
      </c>
      <c r="AI24">
        <f t="shared" si="7"/>
        <v>339.08000000000033</v>
      </c>
      <c r="AJ24">
        <f>'FOB Data'!AA36</f>
        <v>3.4600000000000035</v>
      </c>
    </row>
    <row r="25" spans="2:36">
      <c r="B25">
        <f t="shared" si="12"/>
        <v>99</v>
      </c>
      <c r="C25">
        <f t="shared" si="8"/>
        <v>298.48499999999973</v>
      </c>
      <c r="D25">
        <f>'FOB Data'!C37</f>
        <v>3.0149999999999975</v>
      </c>
      <c r="F25">
        <f t="shared" si="13"/>
        <v>99</v>
      </c>
      <c r="G25">
        <f t="shared" si="9"/>
        <v>267.79500000000019</v>
      </c>
      <c r="H25">
        <f>'FOB Data'!F37</f>
        <v>2.7050000000000018</v>
      </c>
      <c r="J25">
        <f>'FOB Data'!H37</f>
        <v>99</v>
      </c>
      <c r="K25">
        <f t="shared" si="10"/>
        <v>233.49149999999966</v>
      </c>
      <c r="L25">
        <f>'FOB Data'!I37</f>
        <v>2.3584999999999967</v>
      </c>
      <c r="N25">
        <f>'FOB Data'!K37</f>
        <v>99</v>
      </c>
      <c r="O25">
        <f t="shared" si="11"/>
        <v>247.5</v>
      </c>
      <c r="P25">
        <f>'FOB Data'!L37</f>
        <v>2.5</v>
      </c>
      <c r="R25">
        <f>'FOB Data'!N37</f>
        <v>99</v>
      </c>
      <c r="S25">
        <f t="shared" si="0"/>
        <v>268.29000000000042</v>
      </c>
      <c r="T25">
        <f>'FOB Data'!O37</f>
        <v>2.710000000000004</v>
      </c>
      <c r="V25">
        <f>'FOB Data'!Q37</f>
        <v>99</v>
      </c>
      <c r="W25">
        <f t="shared" si="1"/>
        <v>178.69500000000019</v>
      </c>
      <c r="X25">
        <f>'FOB Data'!R37</f>
        <v>1.8050000000000019</v>
      </c>
      <c r="Z25">
        <f t="shared" si="2"/>
        <v>99</v>
      </c>
      <c r="AA25">
        <f t="shared" si="3"/>
        <v>228.19500000000019</v>
      </c>
      <c r="AB25">
        <f>'FOB Data'!U37</f>
        <v>2.3050000000000019</v>
      </c>
      <c r="AD25">
        <f t="shared" si="4"/>
        <v>99</v>
      </c>
      <c r="AE25">
        <f t="shared" si="5"/>
        <v>287.5950000000002</v>
      </c>
      <c r="AF25">
        <f>'FOB Data'!X37</f>
        <v>2.905000000000002</v>
      </c>
      <c r="AH25">
        <f t="shared" si="6"/>
        <v>99</v>
      </c>
      <c r="AI25">
        <f t="shared" si="7"/>
        <v>339.57000000000039</v>
      </c>
      <c r="AJ25">
        <f>'FOB Data'!AA37</f>
        <v>3.4300000000000037</v>
      </c>
    </row>
    <row r="26" spans="2:36">
      <c r="B26">
        <f t="shared" si="12"/>
        <v>100</v>
      </c>
      <c r="C26">
        <f t="shared" si="8"/>
        <v>300</v>
      </c>
      <c r="D26">
        <f>'FOB Data'!C38</f>
        <v>3</v>
      </c>
      <c r="F26">
        <f t="shared" si="13"/>
        <v>100</v>
      </c>
      <c r="G26">
        <f t="shared" si="9"/>
        <v>270</v>
      </c>
      <c r="H26">
        <f>'FOB Data'!F38</f>
        <v>2.7</v>
      </c>
      <c r="J26">
        <f>'FOB Data'!H38</f>
        <v>100</v>
      </c>
      <c r="K26">
        <f t="shared" si="10"/>
        <v>235</v>
      </c>
      <c r="L26">
        <f>'FOB Data'!I38</f>
        <v>2.35</v>
      </c>
      <c r="N26">
        <f>'FOB Data'!K38</f>
        <v>100</v>
      </c>
      <c r="O26">
        <f t="shared" si="11"/>
        <v>250</v>
      </c>
      <c r="P26">
        <f>'FOB Data'!L38</f>
        <v>2.5</v>
      </c>
      <c r="R26">
        <f>'FOB Data'!N38</f>
        <v>100</v>
      </c>
      <c r="S26">
        <f t="shared" si="0"/>
        <v>270</v>
      </c>
      <c r="T26">
        <f>'FOB Data'!O38</f>
        <v>2.7</v>
      </c>
      <c r="V26">
        <f>'FOB Data'!Q38</f>
        <v>100</v>
      </c>
      <c r="W26">
        <f t="shared" si="1"/>
        <v>180</v>
      </c>
      <c r="X26">
        <f>'FOB Data'!R38</f>
        <v>1.8</v>
      </c>
      <c r="Z26">
        <f t="shared" si="2"/>
        <v>100</v>
      </c>
      <c r="AA26">
        <f t="shared" si="3"/>
        <v>229.99999999999997</v>
      </c>
      <c r="AB26">
        <f>'FOB Data'!U38</f>
        <v>2.2999999999999998</v>
      </c>
      <c r="AD26">
        <f t="shared" si="4"/>
        <v>100</v>
      </c>
      <c r="AE26">
        <f t="shared" si="5"/>
        <v>290</v>
      </c>
      <c r="AF26">
        <f>'FOB Data'!X38</f>
        <v>2.9</v>
      </c>
      <c r="AH26">
        <f t="shared" si="6"/>
        <v>100</v>
      </c>
      <c r="AI26">
        <f t="shared" si="7"/>
        <v>340</v>
      </c>
      <c r="AJ26">
        <f>'FOB Data'!AA38</f>
        <v>3.4</v>
      </c>
    </row>
    <row r="27" spans="2:36">
      <c r="B27">
        <f t="shared" si="12"/>
        <v>101</v>
      </c>
      <c r="C27">
        <f t="shared" si="8"/>
        <v>302.39400000000001</v>
      </c>
      <c r="D27">
        <f>'FOB Data'!C39</f>
        <v>2.9940000000000002</v>
      </c>
      <c r="F27">
        <f t="shared" si="13"/>
        <v>101</v>
      </c>
      <c r="G27">
        <f t="shared" si="9"/>
        <v>272.49800000000005</v>
      </c>
      <c r="H27">
        <f>'FOB Data'!F39</f>
        <v>2.6980000000000004</v>
      </c>
      <c r="J27">
        <f>'FOB Data'!H39</f>
        <v>101</v>
      </c>
      <c r="K27">
        <f t="shared" si="10"/>
        <v>237.06719999999999</v>
      </c>
      <c r="L27">
        <f>'FOB Data'!I39</f>
        <v>2.3472</v>
      </c>
      <c r="N27">
        <f>'FOB Data'!K39</f>
        <v>101</v>
      </c>
      <c r="O27">
        <f t="shared" si="11"/>
        <v>252.29800000000003</v>
      </c>
      <c r="P27">
        <f>'FOB Data'!L39</f>
        <v>2.4980000000000002</v>
      </c>
      <c r="R27">
        <f>'FOB Data'!N39</f>
        <v>101</v>
      </c>
      <c r="S27">
        <f t="shared" si="0"/>
        <v>272.29599999999999</v>
      </c>
      <c r="T27">
        <f>'FOB Data'!O39</f>
        <v>2.6960000000000002</v>
      </c>
      <c r="V27">
        <f>'FOB Data'!Q39</f>
        <v>101</v>
      </c>
      <c r="W27">
        <f t="shared" si="1"/>
        <v>181.8</v>
      </c>
      <c r="X27">
        <f>'FOB Data'!R39</f>
        <v>1.8</v>
      </c>
      <c r="Z27">
        <f t="shared" si="2"/>
        <v>101</v>
      </c>
      <c r="AA27">
        <f t="shared" si="3"/>
        <v>232.09800000000001</v>
      </c>
      <c r="AB27">
        <f>'FOB Data'!U39</f>
        <v>2.298</v>
      </c>
      <c r="AD27">
        <f t="shared" si="4"/>
        <v>101</v>
      </c>
      <c r="AE27">
        <f t="shared" si="5"/>
        <v>292.69800000000004</v>
      </c>
      <c r="AF27">
        <f>'FOB Data'!X39</f>
        <v>2.8980000000000001</v>
      </c>
      <c r="AH27">
        <f t="shared" si="6"/>
        <v>101</v>
      </c>
      <c r="AI27">
        <f t="shared" si="7"/>
        <v>342.59199999999998</v>
      </c>
      <c r="AJ27">
        <f>'FOB Data'!AA39</f>
        <v>3.3919999999999999</v>
      </c>
    </row>
    <row r="28" spans="2:36">
      <c r="B28">
        <f t="shared" si="12"/>
        <v>102</v>
      </c>
      <c r="C28">
        <f t="shared" si="8"/>
        <v>304.77600000000007</v>
      </c>
      <c r="D28">
        <f>'FOB Data'!C40</f>
        <v>2.9880000000000004</v>
      </c>
      <c r="F28">
        <f t="shared" si="13"/>
        <v>102</v>
      </c>
      <c r="G28">
        <f t="shared" si="9"/>
        <v>274.99200000000008</v>
      </c>
      <c r="H28">
        <f>'FOB Data'!F40</f>
        <v>2.6960000000000006</v>
      </c>
      <c r="J28">
        <f>'FOB Data'!H40</f>
        <v>102</v>
      </c>
      <c r="K28">
        <f t="shared" si="10"/>
        <v>239.12879999999998</v>
      </c>
      <c r="L28">
        <f>'FOB Data'!I40</f>
        <v>2.3443999999999998</v>
      </c>
      <c r="N28">
        <f>'FOB Data'!K40</f>
        <v>102</v>
      </c>
      <c r="O28">
        <f t="shared" si="11"/>
        <v>254.59200000000004</v>
      </c>
      <c r="P28">
        <f>'FOB Data'!L40</f>
        <v>2.4960000000000004</v>
      </c>
      <c r="R28">
        <f>'FOB Data'!N40</f>
        <v>102</v>
      </c>
      <c r="S28">
        <f t="shared" si="0"/>
        <v>274.584</v>
      </c>
      <c r="T28">
        <f>'FOB Data'!O40</f>
        <v>2.6920000000000002</v>
      </c>
      <c r="V28">
        <f>'FOB Data'!Q40</f>
        <v>102</v>
      </c>
      <c r="W28">
        <f t="shared" si="1"/>
        <v>183.6</v>
      </c>
      <c r="X28">
        <f>'FOB Data'!R40</f>
        <v>1.8</v>
      </c>
      <c r="Z28">
        <f t="shared" si="2"/>
        <v>102</v>
      </c>
      <c r="AA28">
        <f t="shared" si="3"/>
        <v>234.19200000000004</v>
      </c>
      <c r="AB28">
        <f>'FOB Data'!U40</f>
        <v>2.2960000000000003</v>
      </c>
      <c r="AD28">
        <f t="shared" si="4"/>
        <v>102</v>
      </c>
      <c r="AE28">
        <f t="shared" si="5"/>
        <v>295.39200000000005</v>
      </c>
      <c r="AF28">
        <f>'FOB Data'!X40</f>
        <v>2.8960000000000004</v>
      </c>
      <c r="AH28">
        <f t="shared" si="6"/>
        <v>102</v>
      </c>
      <c r="AI28">
        <f t="shared" si="7"/>
        <v>345.16800000000001</v>
      </c>
      <c r="AJ28">
        <f>'FOB Data'!AA40</f>
        <v>3.3839999999999999</v>
      </c>
    </row>
    <row r="29" spans="2:36">
      <c r="B29">
        <f t="shared" si="12"/>
        <v>103</v>
      </c>
      <c r="C29">
        <f t="shared" si="8"/>
        <v>307.14600000000007</v>
      </c>
      <c r="D29">
        <f>'FOB Data'!C41</f>
        <v>2.9820000000000007</v>
      </c>
      <c r="F29">
        <f t="shared" si="13"/>
        <v>103</v>
      </c>
      <c r="G29">
        <f t="shared" si="9"/>
        <v>277.48200000000008</v>
      </c>
      <c r="H29">
        <f>'FOB Data'!F41</f>
        <v>2.6940000000000008</v>
      </c>
      <c r="J29">
        <f>'FOB Data'!H41</f>
        <v>103</v>
      </c>
      <c r="K29">
        <f t="shared" si="10"/>
        <v>241.18479999999997</v>
      </c>
      <c r="L29">
        <f>'FOB Data'!I41</f>
        <v>2.3415999999999997</v>
      </c>
      <c r="N29">
        <f>'FOB Data'!K41</f>
        <v>103</v>
      </c>
      <c r="O29">
        <f t="shared" si="11"/>
        <v>256.88200000000006</v>
      </c>
      <c r="P29">
        <f>'FOB Data'!L41</f>
        <v>2.4940000000000007</v>
      </c>
      <c r="R29">
        <f>'FOB Data'!N41</f>
        <v>103</v>
      </c>
      <c r="S29">
        <f t="shared" si="0"/>
        <v>276.86400000000003</v>
      </c>
      <c r="T29">
        <f>'FOB Data'!O41</f>
        <v>2.6880000000000002</v>
      </c>
      <c r="V29">
        <f>'FOB Data'!Q41</f>
        <v>103</v>
      </c>
      <c r="W29">
        <f t="shared" si="1"/>
        <v>185.4</v>
      </c>
      <c r="X29">
        <f>'FOB Data'!R41</f>
        <v>1.8</v>
      </c>
      <c r="Z29">
        <f t="shared" si="2"/>
        <v>103</v>
      </c>
      <c r="AA29">
        <f t="shared" si="3"/>
        <v>236.28200000000004</v>
      </c>
      <c r="AB29">
        <f>'FOB Data'!U41</f>
        <v>2.2940000000000005</v>
      </c>
      <c r="AD29">
        <f t="shared" si="4"/>
        <v>103</v>
      </c>
      <c r="AE29">
        <f t="shared" si="5"/>
        <v>298.08200000000005</v>
      </c>
      <c r="AF29">
        <f>'FOB Data'!X41</f>
        <v>2.8940000000000006</v>
      </c>
      <c r="AH29">
        <f t="shared" si="6"/>
        <v>103</v>
      </c>
      <c r="AI29">
        <f t="shared" si="7"/>
        <v>347.72800000000001</v>
      </c>
      <c r="AJ29">
        <f>'FOB Data'!AA41</f>
        <v>3.3759999999999999</v>
      </c>
    </row>
    <row r="30" spans="2:36">
      <c r="B30">
        <f t="shared" si="12"/>
        <v>104</v>
      </c>
      <c r="C30">
        <f t="shared" si="8"/>
        <v>309.50400000000008</v>
      </c>
      <c r="D30">
        <f>'FOB Data'!C42</f>
        <v>2.9760000000000009</v>
      </c>
      <c r="F30">
        <f t="shared" si="13"/>
        <v>104</v>
      </c>
      <c r="G30">
        <f t="shared" si="9"/>
        <v>279.96800000000013</v>
      </c>
      <c r="H30">
        <f>'FOB Data'!F42</f>
        <v>2.6920000000000011</v>
      </c>
      <c r="J30">
        <f>'FOB Data'!H42</f>
        <v>104</v>
      </c>
      <c r="K30">
        <f t="shared" si="10"/>
        <v>243.23519999999996</v>
      </c>
      <c r="L30">
        <f>'FOB Data'!I42</f>
        <v>2.3387999999999995</v>
      </c>
      <c r="N30">
        <f>'FOB Data'!K42</f>
        <v>104</v>
      </c>
      <c r="O30">
        <f t="shared" si="11"/>
        <v>259.16800000000012</v>
      </c>
      <c r="P30">
        <f>'FOB Data'!L42</f>
        <v>2.4920000000000009</v>
      </c>
      <c r="R30">
        <f>'FOB Data'!N42</f>
        <v>104</v>
      </c>
      <c r="S30">
        <f t="shared" si="0"/>
        <v>279.13600000000002</v>
      </c>
      <c r="T30">
        <f>'FOB Data'!O42</f>
        <v>2.6840000000000002</v>
      </c>
      <c r="V30">
        <f>'FOB Data'!Q42</f>
        <v>104</v>
      </c>
      <c r="W30">
        <f t="shared" si="1"/>
        <v>187.20000000000002</v>
      </c>
      <c r="X30">
        <f>'FOB Data'!R42</f>
        <v>1.8</v>
      </c>
      <c r="Z30">
        <f t="shared" si="2"/>
        <v>104</v>
      </c>
      <c r="AA30">
        <f t="shared" si="3"/>
        <v>238.36800000000008</v>
      </c>
      <c r="AB30">
        <f>'FOB Data'!U42</f>
        <v>2.2920000000000007</v>
      </c>
      <c r="AD30">
        <f t="shared" si="4"/>
        <v>104</v>
      </c>
      <c r="AE30">
        <f t="shared" si="5"/>
        <v>300.76800000000009</v>
      </c>
      <c r="AF30">
        <f>'FOB Data'!X42</f>
        <v>2.8920000000000008</v>
      </c>
      <c r="AH30">
        <f t="shared" si="6"/>
        <v>104</v>
      </c>
      <c r="AI30">
        <f t="shared" si="7"/>
        <v>350.27199999999999</v>
      </c>
      <c r="AJ30">
        <f>'FOB Data'!AA42</f>
        <v>3.3679999999999999</v>
      </c>
    </row>
    <row r="31" spans="2:36">
      <c r="B31">
        <f t="shared" si="12"/>
        <v>105</v>
      </c>
      <c r="C31">
        <f t="shared" si="8"/>
        <v>311.85000000000014</v>
      </c>
      <c r="D31">
        <f>'FOB Data'!C43</f>
        <v>2.9700000000000011</v>
      </c>
      <c r="F31">
        <f t="shared" si="13"/>
        <v>105</v>
      </c>
      <c r="G31">
        <f t="shared" si="9"/>
        <v>282.45000000000016</v>
      </c>
      <c r="H31">
        <f>'FOB Data'!F43</f>
        <v>2.6900000000000013</v>
      </c>
      <c r="J31">
        <f>'FOB Data'!H43</f>
        <v>105</v>
      </c>
      <c r="K31">
        <f t="shared" si="10"/>
        <v>245.27999999999994</v>
      </c>
      <c r="L31">
        <f>'FOB Data'!I43</f>
        <v>2.3359999999999994</v>
      </c>
      <c r="N31">
        <f>'FOB Data'!K43</f>
        <v>105</v>
      </c>
      <c r="O31">
        <f t="shared" si="11"/>
        <v>261.4500000000001</v>
      </c>
      <c r="P31">
        <f>'FOB Data'!L43</f>
        <v>2.4900000000000011</v>
      </c>
      <c r="R31">
        <f>'FOB Data'!N43</f>
        <v>105</v>
      </c>
      <c r="S31">
        <f t="shared" si="0"/>
        <v>281.40000000000003</v>
      </c>
      <c r="T31">
        <f>'FOB Data'!O43</f>
        <v>2.68</v>
      </c>
      <c r="V31">
        <f>'FOB Data'!Q43</f>
        <v>105</v>
      </c>
      <c r="W31">
        <f t="shared" si="1"/>
        <v>189</v>
      </c>
      <c r="X31">
        <f>'FOB Data'!R43</f>
        <v>1.8</v>
      </c>
      <c r="Z31">
        <f t="shared" si="2"/>
        <v>105</v>
      </c>
      <c r="AA31">
        <f t="shared" si="3"/>
        <v>240.4500000000001</v>
      </c>
      <c r="AB31">
        <f>'FOB Data'!U43</f>
        <v>2.2900000000000009</v>
      </c>
      <c r="AD31">
        <f t="shared" si="4"/>
        <v>105</v>
      </c>
      <c r="AE31">
        <f t="shared" si="5"/>
        <v>303.4500000000001</v>
      </c>
      <c r="AF31">
        <f>'FOB Data'!X43</f>
        <v>2.890000000000001</v>
      </c>
      <c r="AH31">
        <f t="shared" si="6"/>
        <v>105</v>
      </c>
      <c r="AI31">
        <f t="shared" si="7"/>
        <v>352.8</v>
      </c>
      <c r="AJ31">
        <f>'FOB Data'!AA43</f>
        <v>3.36</v>
      </c>
    </row>
    <row r="32" spans="2:36">
      <c r="B32">
        <f t="shared" si="12"/>
        <v>106</v>
      </c>
      <c r="C32">
        <f t="shared" si="8"/>
        <v>314.18400000000014</v>
      </c>
      <c r="D32">
        <f>'FOB Data'!C44</f>
        <v>2.9640000000000013</v>
      </c>
      <c r="F32">
        <f t="shared" si="13"/>
        <v>106</v>
      </c>
      <c r="G32">
        <f t="shared" si="9"/>
        <v>284.92800000000017</v>
      </c>
      <c r="H32">
        <f>'FOB Data'!F44</f>
        <v>2.6880000000000015</v>
      </c>
      <c r="J32">
        <f>'FOB Data'!H44</f>
        <v>106</v>
      </c>
      <c r="K32">
        <f t="shared" si="10"/>
        <v>247.31919999999991</v>
      </c>
      <c r="L32">
        <f>'FOB Data'!I44</f>
        <v>2.3331999999999993</v>
      </c>
      <c r="N32">
        <f>'FOB Data'!K44</f>
        <v>106</v>
      </c>
      <c r="O32">
        <f t="shared" si="11"/>
        <v>263.72800000000012</v>
      </c>
      <c r="P32">
        <f>'FOB Data'!L44</f>
        <v>2.4880000000000013</v>
      </c>
      <c r="R32">
        <f>'FOB Data'!N44</f>
        <v>106</v>
      </c>
      <c r="S32">
        <f t="shared" si="0"/>
        <v>283.65600000000001</v>
      </c>
      <c r="T32">
        <f>'FOB Data'!O44</f>
        <v>2.6760000000000002</v>
      </c>
      <c r="V32">
        <f>'FOB Data'!Q44</f>
        <v>106</v>
      </c>
      <c r="W32">
        <f t="shared" si="1"/>
        <v>190.8</v>
      </c>
      <c r="X32">
        <f>'FOB Data'!R44</f>
        <v>1.8</v>
      </c>
      <c r="Z32">
        <f t="shared" si="2"/>
        <v>106</v>
      </c>
      <c r="AA32">
        <f t="shared" si="3"/>
        <v>242.52800000000013</v>
      </c>
      <c r="AB32">
        <f>'FOB Data'!U44</f>
        <v>2.2880000000000011</v>
      </c>
      <c r="AD32">
        <f t="shared" si="4"/>
        <v>106</v>
      </c>
      <c r="AE32">
        <f t="shared" si="5"/>
        <v>306.12800000000016</v>
      </c>
      <c r="AF32">
        <f>'FOB Data'!X44</f>
        <v>2.8880000000000012</v>
      </c>
      <c r="AH32">
        <f t="shared" si="6"/>
        <v>106</v>
      </c>
      <c r="AI32">
        <f t="shared" si="7"/>
        <v>355.31200000000001</v>
      </c>
      <c r="AJ32">
        <f>'FOB Data'!AA44</f>
        <v>3.3519999999999999</v>
      </c>
    </row>
    <row r="33" spans="2:36">
      <c r="B33">
        <f t="shared" si="12"/>
        <v>107</v>
      </c>
      <c r="C33">
        <f t="shared" si="8"/>
        <v>316.50600000000014</v>
      </c>
      <c r="D33">
        <f>'FOB Data'!C45</f>
        <v>2.9580000000000015</v>
      </c>
      <c r="F33">
        <f t="shared" si="13"/>
        <v>107</v>
      </c>
      <c r="G33">
        <f t="shared" si="9"/>
        <v>287.40200000000016</v>
      </c>
      <c r="H33">
        <f>'FOB Data'!F45</f>
        <v>2.6860000000000017</v>
      </c>
      <c r="J33">
        <f>'FOB Data'!H45</f>
        <v>107</v>
      </c>
      <c r="K33">
        <f t="shared" si="10"/>
        <v>249.35279999999992</v>
      </c>
      <c r="L33">
        <f>'FOB Data'!I45</f>
        <v>2.3303999999999991</v>
      </c>
      <c r="N33">
        <f>'FOB Data'!K45</f>
        <v>107</v>
      </c>
      <c r="O33">
        <f t="shared" si="11"/>
        <v>266.00200000000018</v>
      </c>
      <c r="P33">
        <f>'FOB Data'!L45</f>
        <v>2.4860000000000015</v>
      </c>
      <c r="R33">
        <f>'FOB Data'!N45</f>
        <v>107</v>
      </c>
      <c r="S33">
        <f t="shared" si="0"/>
        <v>285.904</v>
      </c>
      <c r="T33">
        <f>'FOB Data'!O45</f>
        <v>2.6720000000000002</v>
      </c>
      <c r="V33">
        <f>'FOB Data'!Q45</f>
        <v>107</v>
      </c>
      <c r="W33">
        <f t="shared" si="1"/>
        <v>192.6</v>
      </c>
      <c r="X33">
        <f>'FOB Data'!R45</f>
        <v>1.8</v>
      </c>
      <c r="Z33">
        <f t="shared" si="2"/>
        <v>107</v>
      </c>
      <c r="AA33">
        <f t="shared" si="3"/>
        <v>244.60200000000015</v>
      </c>
      <c r="AB33">
        <f>'FOB Data'!U45</f>
        <v>2.2860000000000014</v>
      </c>
      <c r="AD33">
        <f t="shared" si="4"/>
        <v>107</v>
      </c>
      <c r="AE33">
        <f t="shared" si="5"/>
        <v>308.80200000000013</v>
      </c>
      <c r="AF33">
        <f>'FOB Data'!X45</f>
        <v>2.8860000000000015</v>
      </c>
      <c r="AH33">
        <f t="shared" si="6"/>
        <v>107</v>
      </c>
      <c r="AI33">
        <f t="shared" si="7"/>
        <v>357.80799999999999</v>
      </c>
      <c r="AJ33">
        <f>'FOB Data'!AA45</f>
        <v>3.3439999999999999</v>
      </c>
    </row>
    <row r="34" spans="2:36">
      <c r="B34">
        <f t="shared" si="12"/>
        <v>108</v>
      </c>
      <c r="C34">
        <f t="shared" si="8"/>
        <v>318.8160000000002</v>
      </c>
      <c r="D34">
        <f>'FOB Data'!C46</f>
        <v>2.9520000000000017</v>
      </c>
      <c r="F34">
        <f t="shared" si="13"/>
        <v>108</v>
      </c>
      <c r="G34">
        <f t="shared" si="9"/>
        <v>289.87200000000018</v>
      </c>
      <c r="H34">
        <f>'FOB Data'!F46</f>
        <v>2.6840000000000019</v>
      </c>
      <c r="J34">
        <f>'FOB Data'!H46</f>
        <v>108</v>
      </c>
      <c r="K34">
        <f t="shared" si="10"/>
        <v>251.38079999999988</v>
      </c>
      <c r="L34">
        <f>'FOB Data'!I46</f>
        <v>2.327599999999999</v>
      </c>
      <c r="N34">
        <f>'FOB Data'!K46</f>
        <v>108</v>
      </c>
      <c r="O34">
        <f t="shared" si="11"/>
        <v>268.27200000000016</v>
      </c>
      <c r="P34">
        <f>'FOB Data'!L46</f>
        <v>2.4840000000000018</v>
      </c>
      <c r="R34">
        <f>'FOB Data'!N46</f>
        <v>108</v>
      </c>
      <c r="S34">
        <f t="shared" si="0"/>
        <v>288.14400000000001</v>
      </c>
      <c r="T34">
        <f>'FOB Data'!O46</f>
        <v>2.6680000000000001</v>
      </c>
      <c r="V34">
        <f>'FOB Data'!Q46</f>
        <v>108</v>
      </c>
      <c r="W34">
        <f t="shared" si="1"/>
        <v>194.4</v>
      </c>
      <c r="X34">
        <f>'FOB Data'!R46</f>
        <v>1.8</v>
      </c>
      <c r="Z34">
        <f t="shared" si="2"/>
        <v>108</v>
      </c>
      <c r="AA34">
        <f t="shared" si="3"/>
        <v>246.67200000000017</v>
      </c>
      <c r="AB34">
        <f>'FOB Data'!U46</f>
        <v>2.2840000000000016</v>
      </c>
      <c r="AD34">
        <f t="shared" si="4"/>
        <v>108</v>
      </c>
      <c r="AE34">
        <f t="shared" si="5"/>
        <v>311.47200000000021</v>
      </c>
      <c r="AF34">
        <f>'FOB Data'!X46</f>
        <v>2.8840000000000017</v>
      </c>
      <c r="AH34">
        <f t="shared" si="6"/>
        <v>108</v>
      </c>
      <c r="AI34">
        <f t="shared" si="7"/>
        <v>360.28800000000001</v>
      </c>
      <c r="AJ34">
        <f>'FOB Data'!AA46</f>
        <v>3.3359999999999999</v>
      </c>
    </row>
    <row r="35" spans="2:36">
      <c r="B35">
        <f t="shared" si="12"/>
        <v>109</v>
      </c>
      <c r="C35">
        <f t="shared" si="8"/>
        <v>321.1140000000002</v>
      </c>
      <c r="D35">
        <f>'FOB Data'!C47</f>
        <v>2.946000000000002</v>
      </c>
      <c r="F35">
        <f t="shared" si="13"/>
        <v>109</v>
      </c>
      <c r="G35">
        <f t="shared" si="9"/>
        <v>292.33800000000025</v>
      </c>
      <c r="H35">
        <f>'FOB Data'!F47</f>
        <v>2.6820000000000022</v>
      </c>
      <c r="J35">
        <f>'FOB Data'!H47</f>
        <v>109</v>
      </c>
      <c r="K35">
        <f t="shared" si="10"/>
        <v>253.40319999999988</v>
      </c>
      <c r="L35">
        <f>'FOB Data'!I47</f>
        <v>2.3247999999999989</v>
      </c>
      <c r="N35">
        <f>'FOB Data'!K47</f>
        <v>109</v>
      </c>
      <c r="O35">
        <f t="shared" si="11"/>
        <v>270.53800000000024</v>
      </c>
      <c r="P35">
        <f>'FOB Data'!L47</f>
        <v>2.482000000000002</v>
      </c>
      <c r="R35">
        <f>'FOB Data'!N47</f>
        <v>109</v>
      </c>
      <c r="S35">
        <f t="shared" si="0"/>
        <v>290.37600000000003</v>
      </c>
      <c r="T35">
        <f>'FOB Data'!O47</f>
        <v>2.6640000000000001</v>
      </c>
      <c r="V35">
        <f>'FOB Data'!Q47</f>
        <v>109</v>
      </c>
      <c r="W35">
        <f t="shared" si="1"/>
        <v>196.20000000000002</v>
      </c>
      <c r="X35">
        <f>'FOB Data'!R47</f>
        <v>1.8</v>
      </c>
      <c r="Z35">
        <f t="shared" si="2"/>
        <v>109</v>
      </c>
      <c r="AA35">
        <f t="shared" si="3"/>
        <v>248.7380000000002</v>
      </c>
      <c r="AB35">
        <f>'FOB Data'!U47</f>
        <v>2.2820000000000018</v>
      </c>
      <c r="AD35">
        <f t="shared" si="4"/>
        <v>109</v>
      </c>
      <c r="AE35">
        <f t="shared" si="5"/>
        <v>314.1380000000002</v>
      </c>
      <c r="AF35">
        <f>'FOB Data'!X47</f>
        <v>2.8820000000000019</v>
      </c>
      <c r="AH35">
        <f t="shared" si="6"/>
        <v>109</v>
      </c>
      <c r="AI35">
        <f t="shared" si="7"/>
        <v>362.75200000000001</v>
      </c>
      <c r="AJ35">
        <f>'FOB Data'!AA47</f>
        <v>3.3279999999999998</v>
      </c>
    </row>
    <row r="36" spans="2:36">
      <c r="B36">
        <f t="shared" si="12"/>
        <v>110</v>
      </c>
      <c r="C36">
        <f t="shared" si="8"/>
        <v>323.40000000000026</v>
      </c>
      <c r="D36">
        <f>'FOB Data'!C48</f>
        <v>2.9400000000000022</v>
      </c>
      <c r="F36">
        <f t="shared" si="13"/>
        <v>110</v>
      </c>
      <c r="G36">
        <f t="shared" si="9"/>
        <v>294.80000000000024</v>
      </c>
      <c r="H36">
        <f>'FOB Data'!F48</f>
        <v>2.6800000000000024</v>
      </c>
      <c r="J36">
        <f>'FOB Data'!H48</f>
        <v>110</v>
      </c>
      <c r="K36">
        <f t="shared" si="10"/>
        <v>255.41999999999987</v>
      </c>
      <c r="L36">
        <f>'FOB Data'!I48</f>
        <v>2.3219999999999987</v>
      </c>
      <c r="N36">
        <f>'FOB Data'!K48</f>
        <v>110</v>
      </c>
      <c r="O36">
        <f t="shared" si="11"/>
        <v>272.80000000000024</v>
      </c>
      <c r="P36">
        <f>'FOB Data'!L48</f>
        <v>2.4800000000000022</v>
      </c>
      <c r="R36">
        <f>'FOB Data'!N48</f>
        <v>110</v>
      </c>
      <c r="S36">
        <f t="shared" si="0"/>
        <v>292.60000000000002</v>
      </c>
      <c r="T36">
        <f>'FOB Data'!O48</f>
        <v>2.66</v>
      </c>
      <c r="V36">
        <f>'FOB Data'!Q48</f>
        <v>110</v>
      </c>
      <c r="W36">
        <f t="shared" si="1"/>
        <v>198</v>
      </c>
      <c r="X36">
        <f>'FOB Data'!R48</f>
        <v>1.8</v>
      </c>
      <c r="Z36">
        <f t="shared" si="2"/>
        <v>110</v>
      </c>
      <c r="AA36">
        <f t="shared" si="3"/>
        <v>250.80000000000021</v>
      </c>
      <c r="AB36">
        <f>'FOB Data'!U48</f>
        <v>2.280000000000002</v>
      </c>
      <c r="AD36">
        <f t="shared" si="4"/>
        <v>110</v>
      </c>
      <c r="AE36">
        <f t="shared" si="5"/>
        <v>316.80000000000024</v>
      </c>
      <c r="AF36">
        <f>'FOB Data'!X48</f>
        <v>2.8800000000000021</v>
      </c>
      <c r="AH36">
        <f t="shared" si="6"/>
        <v>110</v>
      </c>
      <c r="AI36">
        <f t="shared" si="7"/>
        <v>365.2</v>
      </c>
      <c r="AJ36">
        <f>'FOB Data'!AA48</f>
        <v>3.32</v>
      </c>
    </row>
    <row r="37" spans="2:36">
      <c r="B37">
        <f t="shared" si="12"/>
        <v>111</v>
      </c>
      <c r="C37">
        <f t="shared" si="8"/>
        <v>325.67400000000026</v>
      </c>
      <c r="D37">
        <f>'FOB Data'!C49</f>
        <v>2.9340000000000024</v>
      </c>
      <c r="F37">
        <f t="shared" si="13"/>
        <v>111</v>
      </c>
      <c r="G37">
        <f t="shared" si="9"/>
        <v>297.25800000000027</v>
      </c>
      <c r="H37">
        <f>'FOB Data'!F49</f>
        <v>2.6780000000000026</v>
      </c>
      <c r="J37">
        <f>'FOB Data'!H49</f>
        <v>111</v>
      </c>
      <c r="K37">
        <f t="shared" si="10"/>
        <v>257.43119999999982</v>
      </c>
      <c r="L37">
        <f>'FOB Data'!I49</f>
        <v>2.3191999999999986</v>
      </c>
      <c r="N37">
        <f>'FOB Data'!K49</f>
        <v>111</v>
      </c>
      <c r="O37">
        <f t="shared" si="11"/>
        <v>275.05800000000028</v>
      </c>
      <c r="P37">
        <f>'FOB Data'!L49</f>
        <v>2.4780000000000024</v>
      </c>
      <c r="R37">
        <f>'FOB Data'!N49</f>
        <v>111</v>
      </c>
      <c r="S37">
        <f t="shared" si="0"/>
        <v>294.81600000000003</v>
      </c>
      <c r="T37">
        <f>'FOB Data'!O49</f>
        <v>2.6560000000000001</v>
      </c>
      <c r="V37">
        <f>'FOB Data'!Q49</f>
        <v>111</v>
      </c>
      <c r="W37">
        <f t="shared" si="1"/>
        <v>199.8</v>
      </c>
      <c r="X37">
        <f>'FOB Data'!R49</f>
        <v>1.8</v>
      </c>
      <c r="Z37">
        <f t="shared" si="2"/>
        <v>111</v>
      </c>
      <c r="AA37">
        <f t="shared" si="3"/>
        <v>252.85800000000026</v>
      </c>
      <c r="AB37">
        <f>'FOB Data'!U49</f>
        <v>2.2780000000000022</v>
      </c>
      <c r="AD37">
        <f t="shared" si="4"/>
        <v>111</v>
      </c>
      <c r="AE37">
        <f t="shared" si="5"/>
        <v>319.45800000000025</v>
      </c>
      <c r="AF37">
        <f>'FOB Data'!X49</f>
        <v>2.8780000000000023</v>
      </c>
      <c r="AH37">
        <f t="shared" si="6"/>
        <v>111</v>
      </c>
      <c r="AI37">
        <f t="shared" si="7"/>
        <v>367.63200000000001</v>
      </c>
      <c r="AJ37">
        <f>'FOB Data'!AA49</f>
        <v>3.3119999999999998</v>
      </c>
    </row>
    <row r="38" spans="2:36">
      <c r="B38">
        <f t="shared" si="12"/>
        <v>112</v>
      </c>
      <c r="C38">
        <f t="shared" si="8"/>
        <v>327.93600000000026</v>
      </c>
      <c r="D38">
        <f>'FOB Data'!C50</f>
        <v>2.9280000000000026</v>
      </c>
      <c r="F38">
        <f t="shared" si="13"/>
        <v>112</v>
      </c>
      <c r="G38">
        <f t="shared" si="9"/>
        <v>299.71200000000033</v>
      </c>
      <c r="H38">
        <f>'FOB Data'!F50</f>
        <v>2.6760000000000028</v>
      </c>
      <c r="J38">
        <f>'FOB Data'!H50</f>
        <v>112</v>
      </c>
      <c r="K38">
        <f t="shared" si="10"/>
        <v>259.43679999999983</v>
      </c>
      <c r="L38">
        <f>'FOB Data'!I50</f>
        <v>2.3163999999999985</v>
      </c>
      <c r="N38">
        <f>'FOB Data'!K50</f>
        <v>112</v>
      </c>
      <c r="O38">
        <f t="shared" si="11"/>
        <v>277.3120000000003</v>
      </c>
      <c r="P38">
        <f>'FOB Data'!L50</f>
        <v>2.4760000000000026</v>
      </c>
      <c r="R38">
        <f>'FOB Data'!N50</f>
        <v>112</v>
      </c>
      <c r="S38">
        <f t="shared" si="0"/>
        <v>297.024</v>
      </c>
      <c r="T38">
        <f>'FOB Data'!O50</f>
        <v>2.6520000000000001</v>
      </c>
      <c r="V38">
        <f>'FOB Data'!Q50</f>
        <v>112</v>
      </c>
      <c r="W38">
        <f t="shared" si="1"/>
        <v>201.6</v>
      </c>
      <c r="X38">
        <f>'FOB Data'!R50</f>
        <v>1.8</v>
      </c>
      <c r="Z38">
        <f t="shared" si="2"/>
        <v>112</v>
      </c>
      <c r="AA38">
        <f t="shared" si="3"/>
        <v>254.91200000000026</v>
      </c>
      <c r="AB38">
        <f>'FOB Data'!U50</f>
        <v>2.2760000000000025</v>
      </c>
      <c r="AD38">
        <f t="shared" si="4"/>
        <v>112</v>
      </c>
      <c r="AE38">
        <f t="shared" si="5"/>
        <v>322.11200000000031</v>
      </c>
      <c r="AF38">
        <f>'FOB Data'!X50</f>
        <v>2.8760000000000026</v>
      </c>
      <c r="AH38">
        <f t="shared" si="6"/>
        <v>112</v>
      </c>
      <c r="AI38">
        <f t="shared" si="7"/>
        <v>370.048</v>
      </c>
      <c r="AJ38">
        <f>'FOB Data'!AA50</f>
        <v>3.3039999999999998</v>
      </c>
    </row>
    <row r="39" spans="2:36">
      <c r="B39">
        <f t="shared" si="12"/>
        <v>113</v>
      </c>
      <c r="C39">
        <f t="shared" si="8"/>
        <v>330.18600000000032</v>
      </c>
      <c r="D39">
        <f>'FOB Data'!C51</f>
        <v>2.9220000000000028</v>
      </c>
      <c r="F39">
        <f t="shared" si="13"/>
        <v>113</v>
      </c>
      <c r="G39">
        <f t="shared" si="9"/>
        <v>302.16200000000032</v>
      </c>
      <c r="H39">
        <f>'FOB Data'!F51</f>
        <v>2.674000000000003</v>
      </c>
      <c r="J39">
        <f>'FOB Data'!H51</f>
        <v>113</v>
      </c>
      <c r="K39">
        <f t="shared" si="10"/>
        <v>261.43679999999983</v>
      </c>
      <c r="L39">
        <f>'FOB Data'!I51</f>
        <v>2.3135999999999983</v>
      </c>
      <c r="N39">
        <f>'FOB Data'!K51</f>
        <v>113</v>
      </c>
      <c r="O39">
        <f t="shared" si="11"/>
        <v>279.5620000000003</v>
      </c>
      <c r="P39">
        <f>'FOB Data'!L51</f>
        <v>2.4740000000000029</v>
      </c>
      <c r="R39">
        <f>'FOB Data'!N51</f>
        <v>113</v>
      </c>
      <c r="S39">
        <f t="shared" si="0"/>
        <v>299.22399999999999</v>
      </c>
      <c r="T39">
        <f>'FOB Data'!O51</f>
        <v>2.6480000000000001</v>
      </c>
      <c r="V39">
        <f>'FOB Data'!Q51</f>
        <v>113</v>
      </c>
      <c r="W39">
        <f t="shared" si="1"/>
        <v>203.4</v>
      </c>
      <c r="X39">
        <f>'FOB Data'!R51</f>
        <v>1.8</v>
      </c>
      <c r="Z39">
        <f t="shared" si="2"/>
        <v>113</v>
      </c>
      <c r="AA39">
        <f t="shared" si="3"/>
        <v>256.96200000000033</v>
      </c>
      <c r="AB39">
        <f>'FOB Data'!U51</f>
        <v>2.2740000000000027</v>
      </c>
      <c r="AD39">
        <f t="shared" si="4"/>
        <v>113</v>
      </c>
      <c r="AE39">
        <f t="shared" si="5"/>
        <v>324.76200000000034</v>
      </c>
      <c r="AF39">
        <f>'FOB Data'!X51</f>
        <v>2.8740000000000028</v>
      </c>
      <c r="AH39">
        <f t="shared" si="6"/>
        <v>113</v>
      </c>
      <c r="AI39">
        <f t="shared" si="7"/>
        <v>372.44799999999998</v>
      </c>
      <c r="AJ39">
        <f>'FOB Data'!AA51</f>
        <v>3.2959999999999998</v>
      </c>
    </row>
    <row r="40" spans="2:36">
      <c r="B40">
        <f t="shared" si="12"/>
        <v>114</v>
      </c>
      <c r="C40">
        <f t="shared" si="8"/>
        <v>332.42400000000032</v>
      </c>
      <c r="D40">
        <f>'FOB Data'!C52</f>
        <v>2.916000000000003</v>
      </c>
      <c r="F40">
        <f t="shared" si="13"/>
        <v>114</v>
      </c>
      <c r="G40">
        <f t="shared" si="9"/>
        <v>304.60800000000035</v>
      </c>
      <c r="H40">
        <f>'FOB Data'!F52</f>
        <v>2.6720000000000033</v>
      </c>
      <c r="J40">
        <f>'FOB Data'!H52</f>
        <v>114</v>
      </c>
      <c r="K40">
        <f t="shared" si="10"/>
        <v>263.43119999999982</v>
      </c>
      <c r="L40">
        <f>'FOB Data'!I52</f>
        <v>2.3107999999999982</v>
      </c>
      <c r="N40">
        <f>'FOB Data'!K52</f>
        <v>114</v>
      </c>
      <c r="O40">
        <f t="shared" si="11"/>
        <v>281.80800000000033</v>
      </c>
      <c r="P40">
        <f>'FOB Data'!L52</f>
        <v>2.4720000000000031</v>
      </c>
      <c r="R40">
        <f>'FOB Data'!N52</f>
        <v>114</v>
      </c>
      <c r="S40">
        <f t="shared" si="0"/>
        <v>301.416</v>
      </c>
      <c r="T40">
        <f>'FOB Data'!O52</f>
        <v>2.6440000000000001</v>
      </c>
      <c r="V40">
        <f>'FOB Data'!Q52</f>
        <v>114</v>
      </c>
      <c r="W40">
        <f t="shared" si="1"/>
        <v>205.20000000000002</v>
      </c>
      <c r="X40">
        <f>'FOB Data'!R52</f>
        <v>1.8</v>
      </c>
      <c r="Z40">
        <f t="shared" si="2"/>
        <v>114</v>
      </c>
      <c r="AA40">
        <f t="shared" si="3"/>
        <v>259.00800000000032</v>
      </c>
      <c r="AB40">
        <f>'FOB Data'!U52</f>
        <v>2.2720000000000029</v>
      </c>
      <c r="AD40">
        <f t="shared" si="4"/>
        <v>114</v>
      </c>
      <c r="AE40">
        <f t="shared" si="5"/>
        <v>327.40800000000036</v>
      </c>
      <c r="AF40">
        <f>'FOB Data'!X52</f>
        <v>2.872000000000003</v>
      </c>
      <c r="AH40">
        <f t="shared" si="6"/>
        <v>114</v>
      </c>
      <c r="AI40">
        <f t="shared" si="7"/>
        <v>374.83199999999999</v>
      </c>
      <c r="AJ40">
        <f>'FOB Data'!AA52</f>
        <v>3.2879999999999998</v>
      </c>
    </row>
    <row r="41" spans="2:36">
      <c r="B41">
        <f t="shared" si="12"/>
        <v>115</v>
      </c>
      <c r="C41">
        <f t="shared" si="8"/>
        <v>334.65000000000038</v>
      </c>
      <c r="D41">
        <f>'FOB Data'!C53</f>
        <v>2.9100000000000033</v>
      </c>
      <c r="F41">
        <f t="shared" si="13"/>
        <v>115</v>
      </c>
      <c r="G41">
        <f t="shared" si="9"/>
        <v>307.05000000000041</v>
      </c>
      <c r="H41">
        <f>'FOB Data'!F53</f>
        <v>2.6700000000000035</v>
      </c>
      <c r="J41">
        <f>'FOB Data'!H53</f>
        <v>115</v>
      </c>
      <c r="K41">
        <f t="shared" si="10"/>
        <v>265.41999999999979</v>
      </c>
      <c r="L41">
        <f>'FOB Data'!I53</f>
        <v>2.3079999999999981</v>
      </c>
      <c r="N41">
        <f>'FOB Data'!K53</f>
        <v>115</v>
      </c>
      <c r="O41">
        <f t="shared" si="11"/>
        <v>284.05000000000035</v>
      </c>
      <c r="P41">
        <f>'FOB Data'!L53</f>
        <v>2.4700000000000033</v>
      </c>
      <c r="R41">
        <f>'FOB Data'!N53</f>
        <v>115</v>
      </c>
      <c r="S41">
        <f t="shared" si="0"/>
        <v>303.60000000000002</v>
      </c>
      <c r="T41">
        <f>'FOB Data'!O53</f>
        <v>2.64</v>
      </c>
      <c r="V41">
        <f>'FOB Data'!Q53</f>
        <v>115</v>
      </c>
      <c r="W41">
        <f t="shared" si="1"/>
        <v>207</v>
      </c>
      <c r="X41">
        <f>'FOB Data'!R53</f>
        <v>1.8</v>
      </c>
      <c r="Z41">
        <f t="shared" si="2"/>
        <v>115</v>
      </c>
      <c r="AA41">
        <f t="shared" si="3"/>
        <v>261.05000000000035</v>
      </c>
      <c r="AB41">
        <f>'FOB Data'!U53</f>
        <v>2.2700000000000031</v>
      </c>
      <c r="AD41">
        <f t="shared" si="4"/>
        <v>115</v>
      </c>
      <c r="AE41">
        <f t="shared" si="5"/>
        <v>330.05000000000035</v>
      </c>
      <c r="AF41">
        <f>'FOB Data'!X53</f>
        <v>2.8700000000000032</v>
      </c>
      <c r="AH41">
        <f t="shared" si="6"/>
        <v>115</v>
      </c>
      <c r="AI41">
        <f t="shared" si="7"/>
        <v>377.2</v>
      </c>
      <c r="AJ41">
        <f>'FOB Data'!AA53</f>
        <v>3.28</v>
      </c>
    </row>
    <row r="42" spans="2:36">
      <c r="B42">
        <f t="shared" si="12"/>
        <v>116</v>
      </c>
      <c r="C42">
        <f t="shared" si="8"/>
        <v>336.86400000000037</v>
      </c>
      <c r="D42">
        <f>'FOB Data'!C54</f>
        <v>2.9040000000000035</v>
      </c>
      <c r="F42">
        <f t="shared" si="13"/>
        <v>116</v>
      </c>
      <c r="G42">
        <f t="shared" si="9"/>
        <v>309.48800000000045</v>
      </c>
      <c r="H42">
        <f>'FOB Data'!F54</f>
        <v>2.6680000000000037</v>
      </c>
      <c r="J42">
        <f>'FOB Data'!H54</f>
        <v>116</v>
      </c>
      <c r="K42">
        <f t="shared" si="10"/>
        <v>267.40319999999974</v>
      </c>
      <c r="L42">
        <f>'FOB Data'!I54</f>
        <v>2.3051999999999979</v>
      </c>
      <c r="N42">
        <f>'FOB Data'!K54</f>
        <v>116</v>
      </c>
      <c r="O42">
        <f t="shared" si="11"/>
        <v>286.28800000000041</v>
      </c>
      <c r="P42">
        <f>'FOB Data'!L54</f>
        <v>2.4680000000000035</v>
      </c>
      <c r="R42">
        <f>'FOB Data'!N54</f>
        <v>116</v>
      </c>
      <c r="S42">
        <f t="shared" si="0"/>
        <v>305.77600000000001</v>
      </c>
      <c r="T42">
        <f>'FOB Data'!O54</f>
        <v>2.6360000000000001</v>
      </c>
      <c r="V42">
        <f>'FOB Data'!Q54</f>
        <v>116</v>
      </c>
      <c r="W42">
        <f t="shared" si="1"/>
        <v>208.8</v>
      </c>
      <c r="X42">
        <f>'FOB Data'!R54</f>
        <v>1.8</v>
      </c>
      <c r="Z42">
        <f t="shared" si="2"/>
        <v>116</v>
      </c>
      <c r="AA42">
        <f t="shared" si="3"/>
        <v>263.08800000000036</v>
      </c>
      <c r="AB42">
        <f>'FOB Data'!U54</f>
        <v>2.2680000000000033</v>
      </c>
      <c r="AD42">
        <f t="shared" si="4"/>
        <v>116</v>
      </c>
      <c r="AE42">
        <f t="shared" si="5"/>
        <v>332.68800000000039</v>
      </c>
      <c r="AF42">
        <f>'FOB Data'!X54</f>
        <v>2.8680000000000034</v>
      </c>
      <c r="AH42">
        <f t="shared" si="6"/>
        <v>116</v>
      </c>
      <c r="AI42">
        <f t="shared" si="7"/>
        <v>379.55199999999996</v>
      </c>
      <c r="AJ42">
        <f>'FOB Data'!AA54</f>
        <v>3.2719999999999998</v>
      </c>
    </row>
    <row r="43" spans="2:36">
      <c r="B43">
        <f t="shared" si="12"/>
        <v>117</v>
      </c>
      <c r="C43">
        <f t="shared" si="8"/>
        <v>339.06600000000043</v>
      </c>
      <c r="D43">
        <f>'FOB Data'!C55</f>
        <v>2.8980000000000037</v>
      </c>
      <c r="F43">
        <f t="shared" si="13"/>
        <v>117</v>
      </c>
      <c r="G43">
        <f t="shared" si="9"/>
        <v>311.92200000000048</v>
      </c>
      <c r="H43">
        <f>'FOB Data'!F55</f>
        <v>2.6660000000000039</v>
      </c>
      <c r="J43">
        <f>'FOB Data'!H55</f>
        <v>117</v>
      </c>
      <c r="K43">
        <f t="shared" si="10"/>
        <v>269.38079999999974</v>
      </c>
      <c r="L43">
        <f>'FOB Data'!I55</f>
        <v>2.3023999999999978</v>
      </c>
      <c r="N43">
        <f>'FOB Data'!K55</f>
        <v>117</v>
      </c>
      <c r="O43">
        <f t="shared" si="11"/>
        <v>288.52200000000045</v>
      </c>
      <c r="P43">
        <f>'FOB Data'!L55</f>
        <v>2.4660000000000037</v>
      </c>
      <c r="R43">
        <f>'FOB Data'!N55</f>
        <v>117</v>
      </c>
      <c r="S43">
        <f t="shared" si="0"/>
        <v>307.94400000000002</v>
      </c>
      <c r="T43">
        <f>'FOB Data'!O55</f>
        <v>2.6320000000000001</v>
      </c>
      <c r="V43">
        <f>'FOB Data'!Q55</f>
        <v>117</v>
      </c>
      <c r="W43">
        <f t="shared" si="1"/>
        <v>210.6</v>
      </c>
      <c r="X43">
        <f>'FOB Data'!R55</f>
        <v>1.8</v>
      </c>
      <c r="Z43">
        <f t="shared" si="2"/>
        <v>117</v>
      </c>
      <c r="AA43">
        <f t="shared" si="3"/>
        <v>265.12200000000041</v>
      </c>
      <c r="AB43">
        <f>'FOB Data'!U55</f>
        <v>2.2660000000000036</v>
      </c>
      <c r="AD43">
        <f t="shared" si="4"/>
        <v>117</v>
      </c>
      <c r="AE43">
        <f t="shared" si="5"/>
        <v>335.3220000000004</v>
      </c>
      <c r="AF43">
        <f>'FOB Data'!X55</f>
        <v>2.8660000000000037</v>
      </c>
      <c r="AH43">
        <f t="shared" si="6"/>
        <v>117</v>
      </c>
      <c r="AI43">
        <f t="shared" si="7"/>
        <v>381.88799999999998</v>
      </c>
      <c r="AJ43">
        <f>'FOB Data'!AA55</f>
        <v>3.2639999999999998</v>
      </c>
    </row>
    <row r="44" spans="2:36">
      <c r="B44">
        <f t="shared" si="12"/>
        <v>118</v>
      </c>
      <c r="C44">
        <f t="shared" si="8"/>
        <v>341.25600000000048</v>
      </c>
      <c r="D44">
        <f>'FOB Data'!C56</f>
        <v>2.8920000000000039</v>
      </c>
      <c r="F44">
        <f t="shared" si="13"/>
        <v>118</v>
      </c>
      <c r="G44">
        <f t="shared" si="9"/>
        <v>314.35200000000049</v>
      </c>
      <c r="H44">
        <f>'FOB Data'!F56</f>
        <v>2.6640000000000041</v>
      </c>
      <c r="J44">
        <f>'FOB Data'!H56</f>
        <v>118</v>
      </c>
      <c r="K44">
        <f t="shared" si="10"/>
        <v>271.35279999999972</v>
      </c>
      <c r="L44">
        <f>'FOB Data'!I56</f>
        <v>2.2995999999999976</v>
      </c>
      <c r="N44">
        <f>'FOB Data'!K56</f>
        <v>118</v>
      </c>
      <c r="O44">
        <f t="shared" si="11"/>
        <v>290.75200000000046</v>
      </c>
      <c r="P44">
        <f>'FOB Data'!L56</f>
        <v>2.464000000000004</v>
      </c>
      <c r="R44">
        <f>'FOB Data'!N56</f>
        <v>118</v>
      </c>
      <c r="S44">
        <f t="shared" si="0"/>
        <v>310.10400000000004</v>
      </c>
      <c r="T44">
        <f>'FOB Data'!O56</f>
        <v>2.6280000000000001</v>
      </c>
      <c r="V44">
        <f>'FOB Data'!Q56</f>
        <v>118</v>
      </c>
      <c r="W44">
        <f t="shared" si="1"/>
        <v>212.4</v>
      </c>
      <c r="X44">
        <f>'FOB Data'!R56</f>
        <v>1.8</v>
      </c>
      <c r="Z44">
        <f t="shared" si="2"/>
        <v>118</v>
      </c>
      <c r="AA44">
        <f t="shared" si="3"/>
        <v>267.15200000000044</v>
      </c>
      <c r="AB44">
        <f>'FOB Data'!U56</f>
        <v>2.2640000000000038</v>
      </c>
      <c r="AD44">
        <f t="shared" si="4"/>
        <v>118</v>
      </c>
      <c r="AE44">
        <f t="shared" si="5"/>
        <v>337.95200000000045</v>
      </c>
      <c r="AF44">
        <f>'FOB Data'!X56</f>
        <v>2.8640000000000039</v>
      </c>
      <c r="AH44">
        <f t="shared" si="6"/>
        <v>118</v>
      </c>
      <c r="AI44">
        <f t="shared" si="7"/>
        <v>384.20799999999997</v>
      </c>
      <c r="AJ44">
        <f>'FOB Data'!AA56</f>
        <v>3.2559999999999998</v>
      </c>
    </row>
    <row r="45" spans="2:36">
      <c r="B45">
        <f t="shared" si="12"/>
        <v>119</v>
      </c>
      <c r="C45">
        <f t="shared" si="8"/>
        <v>343.43400000000048</v>
      </c>
      <c r="D45">
        <f>'FOB Data'!C57</f>
        <v>2.8860000000000041</v>
      </c>
      <c r="F45">
        <f t="shared" si="13"/>
        <v>119</v>
      </c>
      <c r="G45">
        <f t="shared" si="9"/>
        <v>316.77800000000053</v>
      </c>
      <c r="H45">
        <f>'FOB Data'!F57</f>
        <v>2.6620000000000044</v>
      </c>
      <c r="J45">
        <f>'FOB Data'!H57</f>
        <v>119</v>
      </c>
      <c r="K45">
        <f t="shared" si="10"/>
        <v>273.31919999999968</v>
      </c>
      <c r="L45">
        <f>'FOB Data'!I57</f>
        <v>2.2967999999999975</v>
      </c>
      <c r="N45">
        <f>'FOB Data'!K57</f>
        <v>119</v>
      </c>
      <c r="O45">
        <f t="shared" si="11"/>
        <v>292.97800000000052</v>
      </c>
      <c r="P45">
        <f>'FOB Data'!L57</f>
        <v>2.4620000000000042</v>
      </c>
      <c r="R45">
        <f>'FOB Data'!N57</f>
        <v>119</v>
      </c>
      <c r="S45">
        <f t="shared" si="0"/>
        <v>312.25600000000003</v>
      </c>
      <c r="T45">
        <f>'FOB Data'!O57</f>
        <v>2.6240000000000001</v>
      </c>
      <c r="V45">
        <f>'FOB Data'!Q57</f>
        <v>119</v>
      </c>
      <c r="W45">
        <f t="shared" si="1"/>
        <v>214.20000000000002</v>
      </c>
      <c r="X45">
        <f>'FOB Data'!R57</f>
        <v>1.8</v>
      </c>
      <c r="Z45">
        <f t="shared" si="2"/>
        <v>119</v>
      </c>
      <c r="AA45">
        <f t="shared" si="3"/>
        <v>269.17800000000045</v>
      </c>
      <c r="AB45">
        <f>'FOB Data'!U57</f>
        <v>2.262000000000004</v>
      </c>
      <c r="AD45">
        <f t="shared" si="4"/>
        <v>119</v>
      </c>
      <c r="AE45">
        <f t="shared" si="5"/>
        <v>340.57800000000049</v>
      </c>
      <c r="AF45">
        <f>'FOB Data'!X57</f>
        <v>2.8620000000000041</v>
      </c>
      <c r="AH45">
        <f t="shared" si="6"/>
        <v>119</v>
      </c>
      <c r="AI45">
        <f t="shared" si="7"/>
        <v>386.512</v>
      </c>
      <c r="AJ45">
        <f>'FOB Data'!AA57</f>
        <v>3.2479999999999998</v>
      </c>
    </row>
    <row r="46" spans="2:36">
      <c r="B46">
        <f t="shared" si="12"/>
        <v>120</v>
      </c>
      <c r="C46">
        <f t="shared" si="8"/>
        <v>345.60000000000053</v>
      </c>
      <c r="D46">
        <f>'FOB Data'!C58</f>
        <v>2.8800000000000043</v>
      </c>
      <c r="F46">
        <f t="shared" si="13"/>
        <v>120</v>
      </c>
      <c r="G46">
        <f t="shared" si="9"/>
        <v>319.20000000000056</v>
      </c>
      <c r="H46">
        <f>'FOB Data'!F58</f>
        <v>2.6600000000000046</v>
      </c>
      <c r="J46">
        <f>'FOB Data'!H58</f>
        <v>120</v>
      </c>
      <c r="K46">
        <f t="shared" si="10"/>
        <v>275.27999999999969</v>
      </c>
      <c r="L46">
        <f>'FOB Data'!I58</f>
        <v>2.2939999999999974</v>
      </c>
      <c r="N46">
        <f>'FOB Data'!K58</f>
        <v>120</v>
      </c>
      <c r="O46">
        <f t="shared" si="11"/>
        <v>295.2000000000005</v>
      </c>
      <c r="P46">
        <f>'FOB Data'!L58</f>
        <v>2.4600000000000044</v>
      </c>
      <c r="R46">
        <f>'FOB Data'!N58</f>
        <v>120</v>
      </c>
      <c r="S46">
        <f t="shared" si="0"/>
        <v>314.40000000000003</v>
      </c>
      <c r="T46">
        <f>'FOB Data'!O58</f>
        <v>2.62</v>
      </c>
      <c r="V46">
        <f>'FOB Data'!Q58</f>
        <v>120</v>
      </c>
      <c r="W46">
        <f t="shared" si="1"/>
        <v>216</v>
      </c>
      <c r="X46">
        <f>'FOB Data'!R58</f>
        <v>1.8</v>
      </c>
      <c r="Z46">
        <f t="shared" si="2"/>
        <v>120</v>
      </c>
      <c r="AA46">
        <f t="shared" si="3"/>
        <v>271.2000000000005</v>
      </c>
      <c r="AB46">
        <f>'FOB Data'!U58</f>
        <v>2.2600000000000042</v>
      </c>
      <c r="AD46">
        <f t="shared" si="4"/>
        <v>120</v>
      </c>
      <c r="AE46">
        <f t="shared" si="5"/>
        <v>343.2000000000005</v>
      </c>
      <c r="AF46">
        <f>'FOB Data'!X58</f>
        <v>2.8600000000000043</v>
      </c>
      <c r="AH46">
        <f t="shared" si="6"/>
        <v>120</v>
      </c>
      <c r="AI46">
        <f t="shared" si="7"/>
        <v>388.79999999999995</v>
      </c>
      <c r="AJ46">
        <f>'FOB Data'!AA58</f>
        <v>3.2399999999999998</v>
      </c>
    </row>
    <row r="47" spans="2:36">
      <c r="B47">
        <f t="shared" si="12"/>
        <v>121</v>
      </c>
      <c r="C47">
        <f t="shared" si="8"/>
        <v>347.75400000000053</v>
      </c>
      <c r="D47">
        <f>'FOB Data'!C59</f>
        <v>2.8740000000000046</v>
      </c>
      <c r="F47">
        <f t="shared" si="13"/>
        <v>121</v>
      </c>
      <c r="G47">
        <f t="shared" si="9"/>
        <v>321.61800000000056</v>
      </c>
      <c r="H47">
        <f>'FOB Data'!F59</f>
        <v>2.6580000000000048</v>
      </c>
      <c r="J47">
        <f>'FOB Data'!H59</f>
        <v>121</v>
      </c>
      <c r="K47">
        <f t="shared" si="10"/>
        <v>277.23519999999968</v>
      </c>
      <c r="L47">
        <f>'FOB Data'!I59</f>
        <v>2.2911999999999972</v>
      </c>
      <c r="N47">
        <f>'FOB Data'!K59</f>
        <v>121</v>
      </c>
      <c r="O47">
        <f t="shared" si="11"/>
        <v>297.41800000000057</v>
      </c>
      <c r="P47">
        <f>'FOB Data'!L59</f>
        <v>2.4580000000000046</v>
      </c>
      <c r="R47">
        <f>'FOB Data'!N59</f>
        <v>121</v>
      </c>
      <c r="S47">
        <f t="shared" si="0"/>
        <v>316.536</v>
      </c>
      <c r="T47">
        <f>'FOB Data'!O59</f>
        <v>2.6160000000000001</v>
      </c>
      <c r="V47">
        <f>'FOB Data'!Q59</f>
        <v>121</v>
      </c>
      <c r="W47">
        <f t="shared" si="1"/>
        <v>217.8</v>
      </c>
      <c r="X47">
        <f>'FOB Data'!R59</f>
        <v>1.8</v>
      </c>
      <c r="Z47">
        <f t="shared" si="2"/>
        <v>121</v>
      </c>
      <c r="AA47">
        <f t="shared" si="3"/>
        <v>273.21800000000053</v>
      </c>
      <c r="AB47">
        <f>'FOB Data'!U59</f>
        <v>2.2580000000000044</v>
      </c>
      <c r="AD47">
        <f t="shared" si="4"/>
        <v>121</v>
      </c>
      <c r="AE47">
        <f t="shared" si="5"/>
        <v>345.81800000000055</v>
      </c>
      <c r="AF47">
        <f>'FOB Data'!X59</f>
        <v>2.8580000000000045</v>
      </c>
      <c r="AH47">
        <f t="shared" si="6"/>
        <v>121</v>
      </c>
      <c r="AI47">
        <f t="shared" si="7"/>
        <v>391.07199999999995</v>
      </c>
      <c r="AJ47">
        <f>'FOB Data'!AA59</f>
        <v>3.2319999999999998</v>
      </c>
    </row>
    <row r="48" spans="2:36">
      <c r="B48">
        <f t="shared" si="12"/>
        <v>122</v>
      </c>
      <c r="C48">
        <f t="shared" si="8"/>
        <v>349.89600000000058</v>
      </c>
      <c r="D48">
        <f>'FOB Data'!C60</f>
        <v>2.8680000000000048</v>
      </c>
      <c r="F48">
        <f t="shared" si="13"/>
        <v>122</v>
      </c>
      <c r="G48">
        <f t="shared" si="9"/>
        <v>324.03200000000061</v>
      </c>
      <c r="H48">
        <f>'FOB Data'!F60</f>
        <v>2.656000000000005</v>
      </c>
      <c r="J48">
        <f>'FOB Data'!H60</f>
        <v>122</v>
      </c>
      <c r="K48">
        <f t="shared" si="10"/>
        <v>279.18479999999965</v>
      </c>
      <c r="L48">
        <f>'FOB Data'!I60</f>
        <v>2.2883999999999971</v>
      </c>
      <c r="N48">
        <f>'FOB Data'!K60</f>
        <v>122</v>
      </c>
      <c r="O48">
        <f t="shared" si="11"/>
        <v>299.63200000000057</v>
      </c>
      <c r="P48">
        <f>'FOB Data'!L60</f>
        <v>2.4560000000000048</v>
      </c>
      <c r="R48">
        <f>'FOB Data'!N60</f>
        <v>122</v>
      </c>
      <c r="S48">
        <f t="shared" si="0"/>
        <v>318.66399999999999</v>
      </c>
      <c r="T48">
        <f>'FOB Data'!O60</f>
        <v>2.6120000000000001</v>
      </c>
      <c r="V48">
        <f>'FOB Data'!Q60</f>
        <v>122</v>
      </c>
      <c r="W48">
        <f t="shared" si="1"/>
        <v>219.6</v>
      </c>
      <c r="X48">
        <f>'FOB Data'!R60</f>
        <v>1.8</v>
      </c>
      <c r="Z48">
        <f t="shared" si="2"/>
        <v>122</v>
      </c>
      <c r="AA48">
        <f t="shared" si="3"/>
        <v>275.2320000000006</v>
      </c>
      <c r="AB48">
        <f>'FOB Data'!U60</f>
        <v>2.2560000000000047</v>
      </c>
      <c r="AD48">
        <f t="shared" si="4"/>
        <v>122</v>
      </c>
      <c r="AE48">
        <f t="shared" si="5"/>
        <v>348.43200000000058</v>
      </c>
      <c r="AF48">
        <f>'FOB Data'!X60</f>
        <v>2.8560000000000048</v>
      </c>
      <c r="AH48">
        <f t="shared" si="6"/>
        <v>122</v>
      </c>
      <c r="AI48">
        <f t="shared" si="7"/>
        <v>393.32799999999997</v>
      </c>
      <c r="AJ48">
        <f>'FOB Data'!AA60</f>
        <v>3.2239999999999998</v>
      </c>
    </row>
    <row r="49" spans="2:36">
      <c r="B49">
        <f t="shared" si="12"/>
        <v>123</v>
      </c>
      <c r="C49">
        <f t="shared" si="8"/>
        <v>352.02600000000064</v>
      </c>
      <c r="D49">
        <f>'FOB Data'!C61</f>
        <v>2.862000000000005</v>
      </c>
      <c r="F49">
        <f t="shared" si="13"/>
        <v>123</v>
      </c>
      <c r="G49">
        <f t="shared" si="9"/>
        <v>326.44200000000063</v>
      </c>
      <c r="H49">
        <f>'FOB Data'!F61</f>
        <v>2.6540000000000052</v>
      </c>
      <c r="J49">
        <f>'FOB Data'!H61</f>
        <v>123</v>
      </c>
      <c r="K49">
        <f t="shared" si="10"/>
        <v>281.12879999999961</v>
      </c>
      <c r="L49">
        <f>'FOB Data'!I61</f>
        <v>2.285599999999997</v>
      </c>
      <c r="N49">
        <f>'FOB Data'!K61</f>
        <v>123</v>
      </c>
      <c r="O49">
        <f t="shared" si="11"/>
        <v>301.84200000000061</v>
      </c>
      <c r="P49">
        <f>'FOB Data'!L61</f>
        <v>2.4540000000000051</v>
      </c>
      <c r="R49">
        <f>'FOB Data'!N61</f>
        <v>123</v>
      </c>
      <c r="S49">
        <f t="shared" si="0"/>
        <v>320.78399999999999</v>
      </c>
      <c r="T49">
        <f>'FOB Data'!O61</f>
        <v>2.6080000000000001</v>
      </c>
      <c r="V49">
        <f>'FOB Data'!Q61</f>
        <v>123</v>
      </c>
      <c r="W49">
        <f t="shared" si="1"/>
        <v>221.4</v>
      </c>
      <c r="X49">
        <f>'FOB Data'!R61</f>
        <v>1.8</v>
      </c>
      <c r="Z49">
        <f t="shared" si="2"/>
        <v>123</v>
      </c>
      <c r="AA49">
        <f t="shared" si="3"/>
        <v>277.24200000000059</v>
      </c>
      <c r="AB49">
        <f>'FOB Data'!U61</f>
        <v>2.2540000000000049</v>
      </c>
      <c r="AD49">
        <f t="shared" si="4"/>
        <v>123</v>
      </c>
      <c r="AE49">
        <f t="shared" si="5"/>
        <v>351.0420000000006</v>
      </c>
      <c r="AF49">
        <f>'FOB Data'!X61</f>
        <v>2.854000000000005</v>
      </c>
      <c r="AH49">
        <f t="shared" si="6"/>
        <v>123</v>
      </c>
      <c r="AI49">
        <f t="shared" si="7"/>
        <v>395.56799999999998</v>
      </c>
      <c r="AJ49">
        <f>'FOB Data'!AA61</f>
        <v>3.2159999999999997</v>
      </c>
    </row>
    <row r="50" spans="2:36">
      <c r="B50">
        <f t="shared" si="12"/>
        <v>124</v>
      </c>
      <c r="C50">
        <f t="shared" si="8"/>
        <v>354.14400000000063</v>
      </c>
      <c r="D50">
        <f>'FOB Data'!C62</f>
        <v>2.8560000000000052</v>
      </c>
      <c r="F50">
        <f t="shared" si="13"/>
        <v>124</v>
      </c>
      <c r="G50">
        <f t="shared" si="9"/>
        <v>328.8480000000007</v>
      </c>
      <c r="H50">
        <f>'FOB Data'!F62</f>
        <v>2.6520000000000055</v>
      </c>
      <c r="J50">
        <f>'FOB Data'!H62</f>
        <v>124</v>
      </c>
      <c r="K50">
        <f t="shared" si="10"/>
        <v>283.06719999999962</v>
      </c>
      <c r="L50">
        <f>'FOB Data'!I62</f>
        <v>2.2827999999999968</v>
      </c>
      <c r="N50">
        <f>'FOB Data'!K62</f>
        <v>124</v>
      </c>
      <c r="O50">
        <f t="shared" si="11"/>
        <v>304.04800000000068</v>
      </c>
      <c r="P50">
        <f>'FOB Data'!L62</f>
        <v>2.4520000000000053</v>
      </c>
      <c r="R50">
        <f>'FOB Data'!N62</f>
        <v>124</v>
      </c>
      <c r="S50">
        <f t="shared" si="0"/>
        <v>322.89600000000002</v>
      </c>
      <c r="T50">
        <f>'FOB Data'!O62</f>
        <v>2.6040000000000001</v>
      </c>
      <c r="V50">
        <f>'FOB Data'!Q62</f>
        <v>124</v>
      </c>
      <c r="W50">
        <f t="shared" si="1"/>
        <v>223.20000000000002</v>
      </c>
      <c r="X50">
        <f>'FOB Data'!R62</f>
        <v>1.8</v>
      </c>
      <c r="Z50">
        <f t="shared" si="2"/>
        <v>124</v>
      </c>
      <c r="AA50">
        <f t="shared" si="3"/>
        <v>279.24800000000062</v>
      </c>
      <c r="AB50">
        <f>'FOB Data'!U62</f>
        <v>2.2520000000000051</v>
      </c>
      <c r="AD50">
        <f t="shared" si="4"/>
        <v>124</v>
      </c>
      <c r="AE50">
        <f t="shared" si="5"/>
        <v>353.64800000000065</v>
      </c>
      <c r="AF50">
        <f>'FOB Data'!X62</f>
        <v>2.8520000000000052</v>
      </c>
      <c r="AH50">
        <f t="shared" si="6"/>
        <v>124</v>
      </c>
      <c r="AI50">
        <f t="shared" si="7"/>
        <v>397.79199999999997</v>
      </c>
      <c r="AJ50">
        <f>'FOB Data'!AA62</f>
        <v>3.2079999999999997</v>
      </c>
    </row>
    <row r="51" spans="2:36">
      <c r="B51">
        <f t="shared" si="12"/>
        <v>125</v>
      </c>
      <c r="C51">
        <f t="shared" si="8"/>
        <v>356.25000000000068</v>
      </c>
      <c r="D51">
        <f>'FOB Data'!C63</f>
        <v>2.8500000000000054</v>
      </c>
      <c r="F51">
        <f t="shared" si="13"/>
        <v>125</v>
      </c>
      <c r="G51">
        <f t="shared" si="9"/>
        <v>331.25000000000068</v>
      </c>
      <c r="H51">
        <f>'FOB Data'!F63</f>
        <v>2.6500000000000057</v>
      </c>
      <c r="J51">
        <f>'FOB Data'!H63</f>
        <v>125</v>
      </c>
      <c r="K51">
        <f t="shared" si="10"/>
        <v>284.9999999999996</v>
      </c>
      <c r="L51">
        <f>'FOB Data'!I63</f>
        <v>2.2799999999999967</v>
      </c>
      <c r="N51">
        <f>'FOB Data'!K63</f>
        <v>125</v>
      </c>
      <c r="O51">
        <f t="shared" si="11"/>
        <v>306.25000000000068</v>
      </c>
      <c r="P51">
        <f>'FOB Data'!L63</f>
        <v>2.4500000000000055</v>
      </c>
      <c r="R51">
        <f>'FOB Data'!N63</f>
        <v>125</v>
      </c>
      <c r="S51">
        <f t="shared" si="0"/>
        <v>325</v>
      </c>
      <c r="T51">
        <f>'FOB Data'!O63</f>
        <v>2.6</v>
      </c>
      <c r="V51">
        <f>'FOB Data'!Q63</f>
        <v>125</v>
      </c>
      <c r="W51">
        <f t="shared" si="1"/>
        <v>225</v>
      </c>
      <c r="X51">
        <f>'FOB Data'!R63</f>
        <v>1.8</v>
      </c>
      <c r="Z51">
        <f t="shared" si="2"/>
        <v>125</v>
      </c>
      <c r="AA51">
        <f t="shared" si="3"/>
        <v>281.25000000000068</v>
      </c>
      <c r="AB51">
        <f>'FOB Data'!U63</f>
        <v>2.2500000000000053</v>
      </c>
      <c r="AD51">
        <f t="shared" si="4"/>
        <v>125</v>
      </c>
      <c r="AE51">
        <f t="shared" si="5"/>
        <v>356.25000000000068</v>
      </c>
      <c r="AF51">
        <f>'FOB Data'!X63</f>
        <v>2.8500000000000054</v>
      </c>
      <c r="AH51">
        <f t="shared" si="6"/>
        <v>125</v>
      </c>
      <c r="AI51">
        <f t="shared" si="7"/>
        <v>399.99999999999994</v>
      </c>
      <c r="AJ51">
        <f>'FOB Data'!AA63</f>
        <v>3.1999999999999997</v>
      </c>
    </row>
    <row r="52" spans="2:36">
      <c r="B52">
        <f t="shared" si="12"/>
        <v>126</v>
      </c>
      <c r="C52">
        <f t="shared" si="8"/>
        <v>358.34400000000073</v>
      </c>
      <c r="D52">
        <f>'FOB Data'!C64</f>
        <v>2.8440000000000056</v>
      </c>
      <c r="F52">
        <f t="shared" si="13"/>
        <v>126</v>
      </c>
      <c r="G52">
        <f t="shared" si="9"/>
        <v>333.64800000000076</v>
      </c>
      <c r="H52">
        <f>'FOB Data'!F64</f>
        <v>2.6480000000000059</v>
      </c>
      <c r="J52">
        <f>'FOB Data'!H64</f>
        <v>126</v>
      </c>
      <c r="K52">
        <f t="shared" si="10"/>
        <v>286.92719999999957</v>
      </c>
      <c r="L52">
        <f>'FOB Data'!I64</f>
        <v>2.2771999999999966</v>
      </c>
      <c r="N52">
        <f>'FOB Data'!K64</f>
        <v>126</v>
      </c>
      <c r="O52">
        <f t="shared" si="11"/>
        <v>308.44800000000072</v>
      </c>
      <c r="P52">
        <f>'FOB Data'!L64</f>
        <v>2.4480000000000057</v>
      </c>
      <c r="R52">
        <f>'FOB Data'!N64</f>
        <v>126</v>
      </c>
      <c r="S52">
        <f t="shared" si="0"/>
        <v>327.096</v>
      </c>
      <c r="T52">
        <f>'FOB Data'!O64</f>
        <v>2.5960000000000001</v>
      </c>
      <c r="V52">
        <f>'FOB Data'!Q64</f>
        <v>126</v>
      </c>
      <c r="W52">
        <f t="shared" si="1"/>
        <v>226.8</v>
      </c>
      <c r="X52">
        <f>'FOB Data'!R64</f>
        <v>1.8</v>
      </c>
      <c r="Z52">
        <f t="shared" si="2"/>
        <v>126</v>
      </c>
      <c r="AA52">
        <f t="shared" si="3"/>
        <v>283.24800000000067</v>
      </c>
      <c r="AB52">
        <f>'FOB Data'!U64</f>
        <v>2.2480000000000055</v>
      </c>
      <c r="AD52">
        <f t="shared" si="4"/>
        <v>126</v>
      </c>
      <c r="AE52">
        <f t="shared" si="5"/>
        <v>358.8480000000007</v>
      </c>
      <c r="AF52">
        <f>'FOB Data'!X64</f>
        <v>2.8480000000000056</v>
      </c>
      <c r="AH52">
        <f t="shared" si="6"/>
        <v>126</v>
      </c>
      <c r="AI52">
        <f t="shared" si="7"/>
        <v>402.19199999999995</v>
      </c>
      <c r="AJ52">
        <f>'FOB Data'!AA64</f>
        <v>3.1919999999999997</v>
      </c>
    </row>
    <row r="53" spans="2:36">
      <c r="B53">
        <f t="shared" si="12"/>
        <v>127</v>
      </c>
      <c r="C53">
        <f t="shared" si="8"/>
        <v>360.42600000000073</v>
      </c>
      <c r="D53">
        <f>'FOB Data'!C65</f>
        <v>2.8380000000000059</v>
      </c>
      <c r="F53">
        <f t="shared" si="13"/>
        <v>127</v>
      </c>
      <c r="G53">
        <f t="shared" si="9"/>
        <v>336.04200000000077</v>
      </c>
      <c r="H53">
        <f>'FOB Data'!F65</f>
        <v>2.6460000000000061</v>
      </c>
      <c r="J53">
        <f>'FOB Data'!H65</f>
        <v>127</v>
      </c>
      <c r="K53">
        <f t="shared" si="10"/>
        <v>288.84879999999953</v>
      </c>
      <c r="L53">
        <f>'FOB Data'!I65</f>
        <v>2.2743999999999964</v>
      </c>
      <c r="N53">
        <f>'FOB Data'!K65</f>
        <v>127</v>
      </c>
      <c r="O53">
        <f t="shared" si="11"/>
        <v>310.64200000000073</v>
      </c>
      <c r="P53">
        <f>'FOB Data'!L65</f>
        <v>2.4460000000000059</v>
      </c>
      <c r="R53">
        <f>'FOB Data'!N65</f>
        <v>127</v>
      </c>
      <c r="S53">
        <f t="shared" si="0"/>
        <v>329.18400000000003</v>
      </c>
      <c r="T53">
        <f>'FOB Data'!O65</f>
        <v>2.5920000000000001</v>
      </c>
      <c r="V53">
        <f>'FOB Data'!Q65</f>
        <v>127</v>
      </c>
      <c r="W53">
        <f t="shared" si="1"/>
        <v>228.6</v>
      </c>
      <c r="X53">
        <f>'FOB Data'!R65</f>
        <v>1.8</v>
      </c>
      <c r="Z53">
        <f t="shared" si="2"/>
        <v>127</v>
      </c>
      <c r="AA53">
        <f t="shared" si="3"/>
        <v>285.24200000000076</v>
      </c>
      <c r="AB53">
        <f>'FOB Data'!U65</f>
        <v>2.2460000000000058</v>
      </c>
      <c r="AD53">
        <f t="shared" si="4"/>
        <v>127</v>
      </c>
      <c r="AE53">
        <f t="shared" si="5"/>
        <v>361.44200000000075</v>
      </c>
      <c r="AF53">
        <f>'FOB Data'!X65</f>
        <v>2.8460000000000059</v>
      </c>
      <c r="AH53">
        <f t="shared" si="6"/>
        <v>127</v>
      </c>
      <c r="AI53">
        <f t="shared" si="7"/>
        <v>404.36799999999994</v>
      </c>
      <c r="AJ53">
        <f>'FOB Data'!AA65</f>
        <v>3.1839999999999997</v>
      </c>
    </row>
    <row r="54" spans="2:36">
      <c r="B54">
        <f t="shared" si="12"/>
        <v>128</v>
      </c>
      <c r="C54">
        <f t="shared" si="8"/>
        <v>362.49600000000078</v>
      </c>
      <c r="D54">
        <f>'FOB Data'!C66</f>
        <v>2.8320000000000061</v>
      </c>
      <c r="F54">
        <f t="shared" si="13"/>
        <v>128</v>
      </c>
      <c r="G54">
        <f t="shared" si="9"/>
        <v>338.43200000000081</v>
      </c>
      <c r="H54">
        <f>'FOB Data'!F66</f>
        <v>2.6440000000000063</v>
      </c>
      <c r="J54">
        <f>'FOB Data'!H66</f>
        <v>128</v>
      </c>
      <c r="K54">
        <f t="shared" si="10"/>
        <v>290.76479999999952</v>
      </c>
      <c r="L54">
        <f>'FOB Data'!I66</f>
        <v>2.2715999999999963</v>
      </c>
      <c r="N54">
        <f>'FOB Data'!K66</f>
        <v>128</v>
      </c>
      <c r="O54">
        <f t="shared" si="11"/>
        <v>312.83200000000079</v>
      </c>
      <c r="P54">
        <f>'FOB Data'!L66</f>
        <v>2.4440000000000062</v>
      </c>
      <c r="R54">
        <f>'FOB Data'!N66</f>
        <v>128</v>
      </c>
      <c r="S54">
        <f t="shared" si="0"/>
        <v>331.26400000000001</v>
      </c>
      <c r="T54">
        <f>'FOB Data'!O66</f>
        <v>2.5880000000000001</v>
      </c>
      <c r="V54">
        <f>'FOB Data'!Q66</f>
        <v>128</v>
      </c>
      <c r="W54">
        <f t="shared" si="1"/>
        <v>230.4</v>
      </c>
      <c r="X54">
        <f>'FOB Data'!R66</f>
        <v>1.8</v>
      </c>
      <c r="Z54">
        <f t="shared" si="2"/>
        <v>128</v>
      </c>
      <c r="AA54">
        <f t="shared" si="3"/>
        <v>287.23200000000077</v>
      </c>
      <c r="AB54">
        <f>'FOB Data'!U66</f>
        <v>2.244000000000006</v>
      </c>
      <c r="AD54">
        <f t="shared" si="4"/>
        <v>128</v>
      </c>
      <c r="AE54">
        <f t="shared" si="5"/>
        <v>364.03200000000078</v>
      </c>
      <c r="AF54">
        <f>'FOB Data'!X66</f>
        <v>2.8440000000000061</v>
      </c>
      <c r="AH54">
        <f t="shared" si="6"/>
        <v>128</v>
      </c>
      <c r="AI54">
        <f t="shared" si="7"/>
        <v>406.52799999999996</v>
      </c>
      <c r="AJ54">
        <f>'FOB Data'!AA66</f>
        <v>3.1759999999999997</v>
      </c>
    </row>
    <row r="55" spans="2:36">
      <c r="B55">
        <f t="shared" si="12"/>
        <v>129</v>
      </c>
      <c r="C55">
        <f t="shared" si="8"/>
        <v>364.55400000000083</v>
      </c>
      <c r="D55">
        <f>'FOB Data'!C67</f>
        <v>2.8260000000000063</v>
      </c>
      <c r="F55">
        <f t="shared" si="13"/>
        <v>129</v>
      </c>
      <c r="G55">
        <f t="shared" si="9"/>
        <v>340.81800000000084</v>
      </c>
      <c r="H55">
        <f>'FOB Data'!F67</f>
        <v>2.6420000000000066</v>
      </c>
      <c r="J55">
        <f>'FOB Data'!H67</f>
        <v>129</v>
      </c>
      <c r="K55">
        <f t="shared" si="10"/>
        <v>292.67519999999951</v>
      </c>
      <c r="L55">
        <f>'FOB Data'!I67</f>
        <v>2.2687999999999962</v>
      </c>
      <c r="N55">
        <f>'FOB Data'!K67</f>
        <v>129</v>
      </c>
      <c r="O55">
        <f t="shared" si="11"/>
        <v>315.01800000000082</v>
      </c>
      <c r="P55">
        <f>'FOB Data'!L67</f>
        <v>2.4420000000000064</v>
      </c>
      <c r="R55">
        <f>'FOB Data'!N67</f>
        <v>129</v>
      </c>
      <c r="S55">
        <f t="shared" si="0"/>
        <v>333.33600000000001</v>
      </c>
      <c r="T55">
        <f>'FOB Data'!O67</f>
        <v>2.5840000000000001</v>
      </c>
      <c r="V55">
        <f>'FOB Data'!Q67</f>
        <v>129</v>
      </c>
      <c r="W55">
        <f t="shared" si="1"/>
        <v>232.20000000000002</v>
      </c>
      <c r="X55">
        <f>'FOB Data'!R67</f>
        <v>1.8</v>
      </c>
      <c r="Z55">
        <f t="shared" si="2"/>
        <v>129</v>
      </c>
      <c r="AA55">
        <f t="shared" si="3"/>
        <v>289.21800000000081</v>
      </c>
      <c r="AB55">
        <f>'FOB Data'!U67</f>
        <v>2.2420000000000062</v>
      </c>
      <c r="AD55">
        <f t="shared" si="4"/>
        <v>129</v>
      </c>
      <c r="AE55">
        <f t="shared" si="5"/>
        <v>366.61800000000079</v>
      </c>
      <c r="AF55">
        <f>'FOB Data'!X67</f>
        <v>2.8420000000000063</v>
      </c>
      <c r="AH55">
        <f t="shared" si="6"/>
        <v>129</v>
      </c>
      <c r="AI55">
        <f t="shared" si="7"/>
        <v>408.67199999999997</v>
      </c>
      <c r="AJ55">
        <f>'FOB Data'!AA67</f>
        <v>3.1679999999999997</v>
      </c>
    </row>
    <row r="56" spans="2:36">
      <c r="B56">
        <f t="shared" si="12"/>
        <v>130</v>
      </c>
      <c r="C56">
        <f t="shared" si="8"/>
        <v>366.60000000000082</v>
      </c>
      <c r="D56">
        <f>'FOB Data'!C68</f>
        <v>2.8200000000000065</v>
      </c>
      <c r="F56">
        <f t="shared" si="13"/>
        <v>130</v>
      </c>
      <c r="G56">
        <f t="shared" si="9"/>
        <v>343.2000000000009</v>
      </c>
      <c r="H56">
        <f>'FOB Data'!F68</f>
        <v>2.6400000000000068</v>
      </c>
      <c r="J56">
        <f>'FOB Data'!H68</f>
        <v>130</v>
      </c>
      <c r="K56">
        <f t="shared" si="10"/>
        <v>294.57999999999947</v>
      </c>
      <c r="L56">
        <f>'FOB Data'!I68</f>
        <v>2.265999999999996</v>
      </c>
      <c r="N56">
        <f>'FOB Data'!K68</f>
        <v>130</v>
      </c>
      <c r="O56">
        <f t="shared" si="11"/>
        <v>317.20000000000084</v>
      </c>
      <c r="P56">
        <f>'FOB Data'!L68</f>
        <v>2.4400000000000066</v>
      </c>
      <c r="R56">
        <f>'FOB Data'!N68</f>
        <v>130</v>
      </c>
      <c r="S56">
        <f t="shared" si="0"/>
        <v>335.40000000000003</v>
      </c>
      <c r="T56">
        <f>'FOB Data'!O68</f>
        <v>2.58</v>
      </c>
      <c r="V56">
        <f>'FOB Data'!Q68</f>
        <v>130</v>
      </c>
      <c r="W56">
        <f t="shared" si="1"/>
        <v>234</v>
      </c>
      <c r="X56">
        <f>'FOB Data'!R68</f>
        <v>1.8</v>
      </c>
      <c r="Z56">
        <f t="shared" si="2"/>
        <v>130</v>
      </c>
      <c r="AA56">
        <f t="shared" si="3"/>
        <v>291.20000000000084</v>
      </c>
      <c r="AB56">
        <f>'FOB Data'!U68</f>
        <v>2.2400000000000064</v>
      </c>
      <c r="AD56">
        <f t="shared" si="4"/>
        <v>130</v>
      </c>
      <c r="AE56">
        <f t="shared" si="5"/>
        <v>369.20000000000084</v>
      </c>
      <c r="AF56">
        <f>'FOB Data'!X68</f>
        <v>2.8400000000000065</v>
      </c>
      <c r="AH56">
        <f t="shared" si="6"/>
        <v>130</v>
      </c>
      <c r="AI56">
        <f t="shared" si="7"/>
        <v>410.79999999999995</v>
      </c>
      <c r="AJ56">
        <f>'FOB Data'!AA68</f>
        <v>3.1599999999999997</v>
      </c>
    </row>
    <row r="57" spans="2:36">
      <c r="B57">
        <f t="shared" si="12"/>
        <v>131</v>
      </c>
      <c r="C57">
        <f t="shared" si="8"/>
        <v>368.63400000000087</v>
      </c>
      <c r="D57">
        <f>'FOB Data'!C69</f>
        <v>2.8140000000000067</v>
      </c>
      <c r="F57">
        <f t="shared" si="13"/>
        <v>131</v>
      </c>
      <c r="G57">
        <f t="shared" si="9"/>
        <v>345.57800000000094</v>
      </c>
      <c r="H57">
        <f>'FOB Data'!F69</f>
        <v>2.638000000000007</v>
      </c>
      <c r="J57">
        <f>'FOB Data'!H69</f>
        <v>131</v>
      </c>
      <c r="K57">
        <f t="shared" si="10"/>
        <v>296.47919999999948</v>
      </c>
      <c r="L57">
        <f>'FOB Data'!I69</f>
        <v>2.2631999999999959</v>
      </c>
      <c r="N57">
        <f>'FOB Data'!K69</f>
        <v>131</v>
      </c>
      <c r="O57">
        <f t="shared" si="11"/>
        <v>319.3780000000009</v>
      </c>
      <c r="P57">
        <f>'FOB Data'!L69</f>
        <v>2.4380000000000068</v>
      </c>
      <c r="R57">
        <f>'FOB Data'!N69</f>
        <v>131</v>
      </c>
      <c r="S57">
        <f t="shared" si="0"/>
        <v>337.45600000000002</v>
      </c>
      <c r="T57">
        <f>'FOB Data'!O69</f>
        <v>2.5760000000000001</v>
      </c>
      <c r="V57">
        <f>'FOB Data'!Q69</f>
        <v>131</v>
      </c>
      <c r="W57">
        <f t="shared" si="1"/>
        <v>235.8</v>
      </c>
      <c r="X57">
        <f>'FOB Data'!R69</f>
        <v>1.8</v>
      </c>
      <c r="Z57">
        <f t="shared" si="2"/>
        <v>131</v>
      </c>
      <c r="AA57">
        <f t="shared" si="3"/>
        <v>293.17800000000085</v>
      </c>
      <c r="AB57">
        <f>'FOB Data'!U69</f>
        <v>2.2380000000000067</v>
      </c>
      <c r="AD57">
        <f t="shared" si="4"/>
        <v>131</v>
      </c>
      <c r="AE57">
        <f t="shared" si="5"/>
        <v>371.77800000000087</v>
      </c>
      <c r="AF57">
        <f>'FOB Data'!X69</f>
        <v>2.8380000000000067</v>
      </c>
      <c r="AH57">
        <f t="shared" si="6"/>
        <v>131</v>
      </c>
      <c r="AI57">
        <f t="shared" si="7"/>
        <v>412.91199999999998</v>
      </c>
      <c r="AJ57">
        <f>'FOB Data'!AA69</f>
        <v>3.1519999999999997</v>
      </c>
    </row>
    <row r="58" spans="2:36">
      <c r="B58">
        <f t="shared" si="12"/>
        <v>132</v>
      </c>
      <c r="C58">
        <f t="shared" si="8"/>
        <v>370.65600000000092</v>
      </c>
      <c r="D58">
        <f>'FOB Data'!C70</f>
        <v>2.8080000000000069</v>
      </c>
      <c r="F58">
        <f t="shared" si="13"/>
        <v>132</v>
      </c>
      <c r="G58">
        <f t="shared" si="9"/>
        <v>347.95200000000096</v>
      </c>
      <c r="H58">
        <f>'FOB Data'!F70</f>
        <v>2.6360000000000072</v>
      </c>
      <c r="J58">
        <f>'FOB Data'!H70</f>
        <v>132</v>
      </c>
      <c r="K58">
        <f t="shared" si="10"/>
        <v>298.37279999999942</v>
      </c>
      <c r="L58">
        <f>'FOB Data'!I70</f>
        <v>2.2603999999999957</v>
      </c>
      <c r="N58">
        <f>'FOB Data'!K70</f>
        <v>132</v>
      </c>
      <c r="O58">
        <f t="shared" si="11"/>
        <v>321.55200000000093</v>
      </c>
      <c r="P58">
        <f>'FOB Data'!L70</f>
        <v>2.436000000000007</v>
      </c>
      <c r="R58">
        <f>'FOB Data'!N70</f>
        <v>132</v>
      </c>
      <c r="S58">
        <f t="shared" si="0"/>
        <v>339.50400000000002</v>
      </c>
      <c r="T58">
        <f>'FOB Data'!O70</f>
        <v>2.5720000000000001</v>
      </c>
      <c r="V58">
        <f>'FOB Data'!Q70</f>
        <v>132</v>
      </c>
      <c r="W58">
        <f t="shared" si="1"/>
        <v>237.6</v>
      </c>
      <c r="X58">
        <f>'FOB Data'!R70</f>
        <v>1.8</v>
      </c>
      <c r="Z58">
        <f t="shared" si="2"/>
        <v>132</v>
      </c>
      <c r="AA58">
        <f t="shared" si="3"/>
        <v>295.1520000000009</v>
      </c>
      <c r="AB58">
        <f>'FOB Data'!U70</f>
        <v>2.2360000000000069</v>
      </c>
      <c r="AD58">
        <f t="shared" si="4"/>
        <v>132</v>
      </c>
      <c r="AE58">
        <f t="shared" si="5"/>
        <v>374.35200000000094</v>
      </c>
      <c r="AF58">
        <f>'FOB Data'!X70</f>
        <v>2.836000000000007</v>
      </c>
      <c r="AH58">
        <f t="shared" si="6"/>
        <v>132</v>
      </c>
      <c r="AI58">
        <f t="shared" si="7"/>
        <v>415.00799999999998</v>
      </c>
      <c r="AJ58">
        <f>'FOB Data'!AA70</f>
        <v>3.1439999999999997</v>
      </c>
    </row>
    <row r="59" spans="2:36">
      <c r="B59">
        <f t="shared" si="12"/>
        <v>133</v>
      </c>
      <c r="C59">
        <f t="shared" si="8"/>
        <v>372.66600000000096</v>
      </c>
      <c r="D59">
        <f>'FOB Data'!C71</f>
        <v>2.8020000000000072</v>
      </c>
      <c r="F59">
        <f t="shared" si="13"/>
        <v>133</v>
      </c>
      <c r="G59">
        <f t="shared" si="9"/>
        <v>350.32200000000097</v>
      </c>
      <c r="H59">
        <f>'FOB Data'!F71</f>
        <v>2.6340000000000074</v>
      </c>
      <c r="J59">
        <f>'FOB Data'!H71</f>
        <v>133</v>
      </c>
      <c r="K59">
        <f t="shared" si="10"/>
        <v>300.26079999999939</v>
      </c>
      <c r="L59">
        <f>'FOB Data'!I71</f>
        <v>2.2575999999999956</v>
      </c>
      <c r="N59">
        <f>'FOB Data'!K71</f>
        <v>133</v>
      </c>
      <c r="O59">
        <f t="shared" si="11"/>
        <v>323.72200000000095</v>
      </c>
      <c r="P59">
        <f>'FOB Data'!L71</f>
        <v>2.4340000000000073</v>
      </c>
      <c r="R59">
        <f>'FOB Data'!N71</f>
        <v>133</v>
      </c>
      <c r="S59">
        <f t="shared" si="0"/>
        <v>341.54399999999998</v>
      </c>
      <c r="T59">
        <f>'FOB Data'!O71</f>
        <v>2.5680000000000001</v>
      </c>
      <c r="V59">
        <f>'FOB Data'!Q71</f>
        <v>133</v>
      </c>
      <c r="W59">
        <f t="shared" si="1"/>
        <v>239.4</v>
      </c>
      <c r="X59">
        <f>'FOB Data'!R71</f>
        <v>1.8</v>
      </c>
      <c r="Z59">
        <f t="shared" si="2"/>
        <v>133</v>
      </c>
      <c r="AA59">
        <f t="shared" si="3"/>
        <v>297.12200000000092</v>
      </c>
      <c r="AB59">
        <f>'FOB Data'!U71</f>
        <v>2.2340000000000071</v>
      </c>
      <c r="AD59">
        <f t="shared" si="4"/>
        <v>133</v>
      </c>
      <c r="AE59">
        <f t="shared" si="5"/>
        <v>376.92200000000093</v>
      </c>
      <c r="AF59">
        <f>'FOB Data'!X71</f>
        <v>2.8340000000000072</v>
      </c>
      <c r="AH59">
        <f t="shared" si="6"/>
        <v>133</v>
      </c>
      <c r="AI59">
        <f t="shared" si="7"/>
        <v>417.08799999999997</v>
      </c>
      <c r="AJ59">
        <f>'FOB Data'!AA71</f>
        <v>3.1359999999999997</v>
      </c>
    </row>
    <row r="60" spans="2:36">
      <c r="B60">
        <f t="shared" si="12"/>
        <v>134</v>
      </c>
      <c r="C60">
        <f t="shared" si="8"/>
        <v>374.66400000000101</v>
      </c>
      <c r="D60">
        <f>'FOB Data'!C72</f>
        <v>2.7960000000000074</v>
      </c>
      <c r="F60">
        <f t="shared" si="13"/>
        <v>134</v>
      </c>
      <c r="G60">
        <f t="shared" si="9"/>
        <v>352.68800000000101</v>
      </c>
      <c r="H60">
        <f>'FOB Data'!F72</f>
        <v>2.6320000000000077</v>
      </c>
      <c r="J60">
        <f>'FOB Data'!H72</f>
        <v>134</v>
      </c>
      <c r="K60">
        <f t="shared" si="10"/>
        <v>302.14319999999941</v>
      </c>
      <c r="L60">
        <f>'FOB Data'!I72</f>
        <v>2.2547999999999955</v>
      </c>
      <c r="N60">
        <f>'FOB Data'!K72</f>
        <v>134</v>
      </c>
      <c r="O60">
        <f t="shared" si="11"/>
        <v>325.888000000001</v>
      </c>
      <c r="P60">
        <f>'FOB Data'!L72</f>
        <v>2.4320000000000075</v>
      </c>
      <c r="R60">
        <f>'FOB Data'!N72</f>
        <v>134</v>
      </c>
      <c r="S60">
        <f t="shared" si="0"/>
        <v>343.57600000000002</v>
      </c>
      <c r="T60">
        <f>'FOB Data'!O72</f>
        <v>2.5640000000000001</v>
      </c>
      <c r="V60">
        <f>'FOB Data'!Q72</f>
        <v>134</v>
      </c>
      <c r="W60">
        <f t="shared" si="1"/>
        <v>241.20000000000002</v>
      </c>
      <c r="X60">
        <f>'FOB Data'!R72</f>
        <v>1.8</v>
      </c>
      <c r="Z60">
        <f t="shared" si="2"/>
        <v>134</v>
      </c>
      <c r="AA60">
        <f t="shared" si="3"/>
        <v>299.08800000000099</v>
      </c>
      <c r="AB60">
        <f>'FOB Data'!U72</f>
        <v>2.2320000000000073</v>
      </c>
      <c r="AD60">
        <f t="shared" si="4"/>
        <v>134</v>
      </c>
      <c r="AE60">
        <f t="shared" si="5"/>
        <v>379.48800000000097</v>
      </c>
      <c r="AF60">
        <f>'FOB Data'!X72</f>
        <v>2.8320000000000074</v>
      </c>
      <c r="AH60">
        <f t="shared" si="6"/>
        <v>134</v>
      </c>
      <c r="AI60">
        <f t="shared" si="7"/>
        <v>419.15199999999993</v>
      </c>
      <c r="AJ60">
        <f>'FOB Data'!AA72</f>
        <v>3.1279999999999997</v>
      </c>
    </row>
    <row r="61" spans="2:36">
      <c r="B61">
        <f t="shared" si="12"/>
        <v>135</v>
      </c>
      <c r="C61">
        <f t="shared" si="8"/>
        <v>376.650000000001</v>
      </c>
      <c r="D61">
        <f>'FOB Data'!C73</f>
        <v>2.7900000000000076</v>
      </c>
      <c r="F61">
        <f t="shared" si="13"/>
        <v>135</v>
      </c>
      <c r="G61">
        <f t="shared" si="9"/>
        <v>355.05000000000109</v>
      </c>
      <c r="H61">
        <f>'FOB Data'!F73</f>
        <v>2.6300000000000079</v>
      </c>
      <c r="J61">
        <f>'FOB Data'!H73</f>
        <v>135</v>
      </c>
      <c r="K61">
        <f t="shared" si="10"/>
        <v>304.01999999999936</v>
      </c>
      <c r="L61">
        <f>'FOB Data'!I73</f>
        <v>2.2519999999999953</v>
      </c>
      <c r="N61">
        <f>'FOB Data'!K73</f>
        <v>135</v>
      </c>
      <c r="O61">
        <f t="shared" si="11"/>
        <v>328.05000000000103</v>
      </c>
      <c r="P61">
        <f>'FOB Data'!L73</f>
        <v>2.4300000000000077</v>
      </c>
      <c r="R61">
        <f>'FOB Data'!N73</f>
        <v>135</v>
      </c>
      <c r="S61">
        <f t="shared" si="0"/>
        <v>345.6</v>
      </c>
      <c r="T61">
        <f>'FOB Data'!O73</f>
        <v>2.56</v>
      </c>
      <c r="V61">
        <f>'FOB Data'!Q73</f>
        <v>135</v>
      </c>
      <c r="W61">
        <f t="shared" si="1"/>
        <v>243</v>
      </c>
      <c r="X61">
        <f>'FOB Data'!R73</f>
        <v>1.8</v>
      </c>
      <c r="Z61">
        <f t="shared" si="2"/>
        <v>135</v>
      </c>
      <c r="AA61">
        <f t="shared" si="3"/>
        <v>301.05000000000103</v>
      </c>
      <c r="AB61">
        <f>'FOB Data'!U73</f>
        <v>2.2300000000000075</v>
      </c>
      <c r="AD61">
        <f t="shared" si="4"/>
        <v>135</v>
      </c>
      <c r="AE61">
        <f t="shared" si="5"/>
        <v>382.05000000000103</v>
      </c>
      <c r="AF61">
        <f>'FOB Data'!X73</f>
        <v>2.8300000000000076</v>
      </c>
      <c r="AH61">
        <f t="shared" si="6"/>
        <v>135</v>
      </c>
      <c r="AI61">
        <f t="shared" si="7"/>
        <v>421.19999999999993</v>
      </c>
      <c r="AJ61">
        <f>'FOB Data'!AA73</f>
        <v>3.1199999999999997</v>
      </c>
    </row>
    <row r="62" spans="2:36">
      <c r="B62">
        <f t="shared" si="12"/>
        <v>136</v>
      </c>
      <c r="C62">
        <f t="shared" si="8"/>
        <v>378.62400000000105</v>
      </c>
      <c r="D62">
        <f>'FOB Data'!C74</f>
        <v>2.7840000000000078</v>
      </c>
      <c r="F62">
        <f t="shared" si="13"/>
        <v>136</v>
      </c>
      <c r="G62">
        <f t="shared" si="9"/>
        <v>357.4080000000011</v>
      </c>
      <c r="H62">
        <f>'FOB Data'!F74</f>
        <v>2.6280000000000081</v>
      </c>
      <c r="J62">
        <f>'FOB Data'!H74</f>
        <v>136</v>
      </c>
      <c r="K62">
        <f t="shared" si="10"/>
        <v>305.89119999999934</v>
      </c>
      <c r="L62">
        <f>'FOB Data'!I74</f>
        <v>2.2491999999999952</v>
      </c>
      <c r="N62">
        <f>'FOB Data'!K74</f>
        <v>136</v>
      </c>
      <c r="O62">
        <f t="shared" si="11"/>
        <v>330.20800000000111</v>
      </c>
      <c r="P62">
        <f>'FOB Data'!L74</f>
        <v>2.4280000000000079</v>
      </c>
      <c r="R62">
        <f>'FOB Data'!N74</f>
        <v>136</v>
      </c>
      <c r="S62">
        <f t="shared" si="0"/>
        <v>347.61599999999999</v>
      </c>
      <c r="T62">
        <f>'FOB Data'!O74</f>
        <v>2.556</v>
      </c>
      <c r="V62">
        <f>'FOB Data'!Q74</f>
        <v>136</v>
      </c>
      <c r="W62">
        <f t="shared" si="1"/>
        <v>244.8</v>
      </c>
      <c r="X62">
        <f>'FOB Data'!R74</f>
        <v>1.8</v>
      </c>
      <c r="Z62">
        <f t="shared" si="2"/>
        <v>136</v>
      </c>
      <c r="AA62">
        <f t="shared" si="3"/>
        <v>303.00800000000106</v>
      </c>
      <c r="AB62">
        <f>'FOB Data'!U74</f>
        <v>2.2280000000000078</v>
      </c>
      <c r="AD62">
        <f t="shared" si="4"/>
        <v>136</v>
      </c>
      <c r="AE62">
        <f t="shared" si="5"/>
        <v>384.60800000000108</v>
      </c>
      <c r="AF62">
        <f>'FOB Data'!X74</f>
        <v>2.8280000000000078</v>
      </c>
      <c r="AH62">
        <f t="shared" si="6"/>
        <v>136</v>
      </c>
      <c r="AI62">
        <f t="shared" si="7"/>
        <v>423.23199999999997</v>
      </c>
      <c r="AJ62">
        <f>'FOB Data'!AA74</f>
        <v>3.1119999999999997</v>
      </c>
    </row>
    <row r="63" spans="2:36">
      <c r="B63">
        <f t="shared" si="12"/>
        <v>137</v>
      </c>
      <c r="C63">
        <f t="shared" si="8"/>
        <v>380.58600000000109</v>
      </c>
      <c r="D63">
        <f>'FOB Data'!C75</f>
        <v>2.778000000000008</v>
      </c>
      <c r="F63">
        <f t="shared" si="13"/>
        <v>137</v>
      </c>
      <c r="G63">
        <f t="shared" si="9"/>
        <v>359.76200000000114</v>
      </c>
      <c r="H63">
        <f>'FOB Data'!F75</f>
        <v>2.6260000000000083</v>
      </c>
      <c r="J63">
        <f>'FOB Data'!H75</f>
        <v>137</v>
      </c>
      <c r="K63">
        <f t="shared" si="10"/>
        <v>307.75679999999932</v>
      </c>
      <c r="L63">
        <f>'FOB Data'!I75</f>
        <v>2.2463999999999951</v>
      </c>
      <c r="N63">
        <f>'FOB Data'!K75</f>
        <v>137</v>
      </c>
      <c r="O63">
        <f t="shared" si="11"/>
        <v>332.3620000000011</v>
      </c>
      <c r="P63">
        <f>'FOB Data'!L75</f>
        <v>2.4260000000000081</v>
      </c>
      <c r="R63">
        <f>'FOB Data'!N75</f>
        <v>137</v>
      </c>
      <c r="S63">
        <f t="shared" si="0"/>
        <v>349.62400000000002</v>
      </c>
      <c r="T63">
        <f>'FOB Data'!O75</f>
        <v>2.552</v>
      </c>
      <c r="V63">
        <f>'FOB Data'!Q75</f>
        <v>137</v>
      </c>
      <c r="W63">
        <f t="shared" si="1"/>
        <v>246.6</v>
      </c>
      <c r="X63">
        <f>'FOB Data'!R75</f>
        <v>1.8</v>
      </c>
      <c r="Z63">
        <f t="shared" si="2"/>
        <v>137</v>
      </c>
      <c r="AA63">
        <f t="shared" si="3"/>
        <v>304.96200000000107</v>
      </c>
      <c r="AB63">
        <f>'FOB Data'!U75</f>
        <v>2.226000000000008</v>
      </c>
      <c r="AD63">
        <f t="shared" si="4"/>
        <v>137</v>
      </c>
      <c r="AE63">
        <f t="shared" si="5"/>
        <v>387.16200000000111</v>
      </c>
      <c r="AF63">
        <f>'FOB Data'!X75</f>
        <v>2.8260000000000081</v>
      </c>
      <c r="AH63">
        <f t="shared" si="6"/>
        <v>137</v>
      </c>
      <c r="AI63">
        <f t="shared" si="7"/>
        <v>425.24799999999993</v>
      </c>
      <c r="AJ63">
        <f>'FOB Data'!AA75</f>
        <v>3.1039999999999996</v>
      </c>
    </row>
    <row r="64" spans="2:36">
      <c r="B64">
        <f t="shared" si="12"/>
        <v>138</v>
      </c>
      <c r="C64">
        <f t="shared" si="8"/>
        <v>382.53600000000114</v>
      </c>
      <c r="D64">
        <f>'FOB Data'!C76</f>
        <v>2.7720000000000082</v>
      </c>
      <c r="F64">
        <f t="shared" si="13"/>
        <v>138</v>
      </c>
      <c r="G64">
        <f t="shared" si="9"/>
        <v>362.11200000000116</v>
      </c>
      <c r="H64">
        <f>'FOB Data'!F76</f>
        <v>2.6240000000000085</v>
      </c>
      <c r="J64">
        <f>'FOB Data'!H76</f>
        <v>138</v>
      </c>
      <c r="K64">
        <f t="shared" si="10"/>
        <v>309.61679999999927</v>
      </c>
      <c r="L64">
        <f>'FOB Data'!I76</f>
        <v>2.2435999999999949</v>
      </c>
      <c r="N64">
        <f>'FOB Data'!K76</f>
        <v>138</v>
      </c>
      <c r="O64">
        <f t="shared" si="11"/>
        <v>334.51200000000114</v>
      </c>
      <c r="P64">
        <f>'FOB Data'!L76</f>
        <v>2.4240000000000084</v>
      </c>
      <c r="R64">
        <f>'FOB Data'!N76</f>
        <v>138</v>
      </c>
      <c r="S64">
        <f t="shared" si="0"/>
        <v>351.62400000000002</v>
      </c>
      <c r="T64">
        <f>'FOB Data'!O76</f>
        <v>2.548</v>
      </c>
      <c r="V64">
        <f>'FOB Data'!Q76</f>
        <v>138</v>
      </c>
      <c r="W64">
        <f t="shared" si="1"/>
        <v>248.4</v>
      </c>
      <c r="X64">
        <f>'FOB Data'!R76</f>
        <v>1.8</v>
      </c>
      <c r="Z64">
        <f t="shared" si="2"/>
        <v>138</v>
      </c>
      <c r="AA64">
        <f t="shared" si="3"/>
        <v>306.91200000000111</v>
      </c>
      <c r="AB64">
        <f>'FOB Data'!U76</f>
        <v>2.2240000000000082</v>
      </c>
      <c r="AD64">
        <f t="shared" si="4"/>
        <v>138</v>
      </c>
      <c r="AE64">
        <f t="shared" si="5"/>
        <v>389.71200000000113</v>
      </c>
      <c r="AF64">
        <f>'FOB Data'!X76</f>
        <v>2.8240000000000083</v>
      </c>
      <c r="AH64">
        <f t="shared" si="6"/>
        <v>138</v>
      </c>
      <c r="AI64">
        <f t="shared" si="7"/>
        <v>427.24799999999993</v>
      </c>
      <c r="AJ64">
        <f>'FOB Data'!AA76</f>
        <v>3.0959999999999996</v>
      </c>
    </row>
    <row r="65" spans="2:36">
      <c r="B65">
        <f t="shared" si="12"/>
        <v>139</v>
      </c>
      <c r="C65">
        <f t="shared" si="8"/>
        <v>384.47400000000118</v>
      </c>
      <c r="D65">
        <f>'FOB Data'!C77</f>
        <v>2.7660000000000085</v>
      </c>
      <c r="F65">
        <f t="shared" si="13"/>
        <v>139</v>
      </c>
      <c r="G65">
        <f t="shared" si="9"/>
        <v>364.45800000000122</v>
      </c>
      <c r="H65">
        <f>'FOB Data'!F77</f>
        <v>2.6220000000000088</v>
      </c>
      <c r="J65">
        <f>'FOB Data'!H77</f>
        <v>139</v>
      </c>
      <c r="K65">
        <f t="shared" si="10"/>
        <v>311.47119999999927</v>
      </c>
      <c r="L65">
        <f>'FOB Data'!I77</f>
        <v>2.2407999999999948</v>
      </c>
      <c r="N65">
        <f>'FOB Data'!K77</f>
        <v>139</v>
      </c>
      <c r="O65">
        <f t="shared" si="11"/>
        <v>336.65800000000121</v>
      </c>
      <c r="P65">
        <f>'FOB Data'!L77</f>
        <v>2.4220000000000086</v>
      </c>
      <c r="R65">
        <f>'FOB Data'!N77</f>
        <v>139</v>
      </c>
      <c r="S65">
        <f t="shared" si="0"/>
        <v>353.61599999999999</v>
      </c>
      <c r="T65">
        <f>'FOB Data'!O77</f>
        <v>2.544</v>
      </c>
      <c r="V65">
        <f>'FOB Data'!Q77</f>
        <v>139</v>
      </c>
      <c r="W65">
        <f t="shared" si="1"/>
        <v>250.20000000000002</v>
      </c>
      <c r="X65">
        <f>'FOB Data'!R77</f>
        <v>1.8</v>
      </c>
      <c r="Z65">
        <f t="shared" si="2"/>
        <v>139</v>
      </c>
      <c r="AA65">
        <f t="shared" si="3"/>
        <v>308.8580000000012</v>
      </c>
      <c r="AB65">
        <f>'FOB Data'!U77</f>
        <v>2.2220000000000084</v>
      </c>
      <c r="AD65">
        <f t="shared" si="4"/>
        <v>139</v>
      </c>
      <c r="AE65">
        <f t="shared" si="5"/>
        <v>392.25800000000118</v>
      </c>
      <c r="AF65">
        <f>'FOB Data'!X77</f>
        <v>2.8220000000000085</v>
      </c>
      <c r="AH65">
        <f t="shared" si="6"/>
        <v>139</v>
      </c>
      <c r="AI65">
        <f t="shared" si="7"/>
        <v>429.23199999999997</v>
      </c>
      <c r="AJ65">
        <f>'FOB Data'!AA77</f>
        <v>3.0879999999999996</v>
      </c>
    </row>
    <row r="66" spans="2:36">
      <c r="B66">
        <f t="shared" si="12"/>
        <v>140</v>
      </c>
      <c r="C66">
        <f t="shared" si="8"/>
        <v>386.40000000000123</v>
      </c>
      <c r="D66">
        <f>'FOB Data'!C78</f>
        <v>2.7600000000000087</v>
      </c>
      <c r="F66">
        <f t="shared" si="13"/>
        <v>140</v>
      </c>
      <c r="G66">
        <f t="shared" si="9"/>
        <v>366.80000000000126</v>
      </c>
      <c r="H66">
        <f>'FOB Data'!F78</f>
        <v>2.620000000000009</v>
      </c>
      <c r="J66">
        <f>'FOB Data'!H78</f>
        <v>140</v>
      </c>
      <c r="K66">
        <f t="shared" si="10"/>
        <v>313.31999999999925</v>
      </c>
      <c r="L66">
        <f>'FOB Data'!I78</f>
        <v>2.2379999999999947</v>
      </c>
      <c r="N66">
        <f>'FOB Data'!K78</f>
        <v>140</v>
      </c>
      <c r="O66">
        <f t="shared" si="11"/>
        <v>338.80000000000121</v>
      </c>
      <c r="P66">
        <f>'FOB Data'!L78</f>
        <v>2.4200000000000088</v>
      </c>
      <c r="R66">
        <f>'FOB Data'!N78</f>
        <v>140</v>
      </c>
      <c r="S66">
        <f t="shared" si="0"/>
        <v>355.6</v>
      </c>
      <c r="T66">
        <f>'FOB Data'!O78</f>
        <v>2.54</v>
      </c>
      <c r="V66">
        <f>'FOB Data'!Q78</f>
        <v>140</v>
      </c>
      <c r="W66">
        <f t="shared" si="1"/>
        <v>252</v>
      </c>
      <c r="X66">
        <f>'FOB Data'!R78</f>
        <v>1.8</v>
      </c>
      <c r="Z66">
        <f t="shared" si="2"/>
        <v>140</v>
      </c>
      <c r="AA66">
        <f t="shared" si="3"/>
        <v>310.80000000000121</v>
      </c>
      <c r="AB66">
        <f>'FOB Data'!U78</f>
        <v>2.2200000000000086</v>
      </c>
      <c r="AD66">
        <f t="shared" si="4"/>
        <v>140</v>
      </c>
      <c r="AE66">
        <f t="shared" si="5"/>
        <v>394.80000000000121</v>
      </c>
      <c r="AF66">
        <f>'FOB Data'!X78</f>
        <v>2.8200000000000087</v>
      </c>
      <c r="AH66">
        <f t="shared" si="6"/>
        <v>140</v>
      </c>
      <c r="AI66">
        <f t="shared" si="7"/>
        <v>431.19999999999993</v>
      </c>
      <c r="AJ66">
        <f>'FOB Data'!AA78</f>
        <v>3.0799999999999996</v>
      </c>
    </row>
    <row r="67" spans="2:36">
      <c r="B67">
        <f t="shared" si="12"/>
        <v>141</v>
      </c>
      <c r="C67">
        <f t="shared" si="8"/>
        <v>388.31400000000127</v>
      </c>
      <c r="D67">
        <f>'FOB Data'!C79</f>
        <v>2.7540000000000089</v>
      </c>
      <c r="F67">
        <f t="shared" si="13"/>
        <v>141</v>
      </c>
      <c r="G67">
        <f t="shared" si="9"/>
        <v>369.13800000000128</v>
      </c>
      <c r="H67">
        <f>'FOB Data'!F79</f>
        <v>2.6180000000000092</v>
      </c>
      <c r="J67">
        <f>'FOB Data'!H79</f>
        <v>141</v>
      </c>
      <c r="K67">
        <f t="shared" si="10"/>
        <v>315.16319999999922</v>
      </c>
      <c r="L67">
        <f>'FOB Data'!I79</f>
        <v>2.2351999999999945</v>
      </c>
      <c r="N67">
        <f>'FOB Data'!K79</f>
        <v>141</v>
      </c>
      <c r="O67">
        <f t="shared" si="11"/>
        <v>340.9380000000013</v>
      </c>
      <c r="P67">
        <f>'FOB Data'!L79</f>
        <v>2.418000000000009</v>
      </c>
      <c r="R67">
        <f>'FOB Data'!N79</f>
        <v>141</v>
      </c>
      <c r="S67">
        <f t="shared" si="0"/>
        <v>357.57600000000002</v>
      </c>
      <c r="T67">
        <f>'FOB Data'!O79</f>
        <v>2.536</v>
      </c>
      <c r="V67">
        <f>'FOB Data'!Q79</f>
        <v>141</v>
      </c>
      <c r="W67">
        <f t="shared" si="1"/>
        <v>253.8</v>
      </c>
      <c r="X67">
        <f>'FOB Data'!R79</f>
        <v>1.8</v>
      </c>
      <c r="Z67">
        <f t="shared" si="2"/>
        <v>141</v>
      </c>
      <c r="AA67">
        <f t="shared" si="3"/>
        <v>312.73800000000125</v>
      </c>
      <c r="AB67">
        <f>'FOB Data'!U79</f>
        <v>2.2180000000000089</v>
      </c>
      <c r="AD67">
        <f t="shared" si="4"/>
        <v>141</v>
      </c>
      <c r="AE67">
        <f t="shared" si="5"/>
        <v>397.33800000000127</v>
      </c>
      <c r="AF67">
        <f>'FOB Data'!X79</f>
        <v>2.8180000000000089</v>
      </c>
      <c r="AH67">
        <f t="shared" si="6"/>
        <v>141</v>
      </c>
      <c r="AI67">
        <f t="shared" si="7"/>
        <v>433.15199999999993</v>
      </c>
      <c r="AJ67">
        <f>'FOB Data'!AA79</f>
        <v>3.0719999999999996</v>
      </c>
    </row>
    <row r="68" spans="2:36">
      <c r="B68">
        <f t="shared" si="12"/>
        <v>142</v>
      </c>
      <c r="C68">
        <f t="shared" si="8"/>
        <v>390.21600000000132</v>
      </c>
      <c r="D68">
        <f>'FOB Data'!C80</f>
        <v>2.7480000000000091</v>
      </c>
      <c r="F68">
        <f t="shared" si="13"/>
        <v>142</v>
      </c>
      <c r="G68">
        <f t="shared" si="9"/>
        <v>371.47200000000134</v>
      </c>
      <c r="H68">
        <f>'FOB Data'!F80</f>
        <v>2.6160000000000094</v>
      </c>
      <c r="J68">
        <f>'FOB Data'!H80</f>
        <v>142</v>
      </c>
      <c r="K68">
        <f t="shared" si="10"/>
        <v>317.00079999999923</v>
      </c>
      <c r="L68">
        <f>'FOB Data'!I80</f>
        <v>2.2323999999999944</v>
      </c>
      <c r="N68">
        <f>'FOB Data'!K80</f>
        <v>142</v>
      </c>
      <c r="O68">
        <f t="shared" si="11"/>
        <v>343.07200000000131</v>
      </c>
      <c r="P68">
        <f>'FOB Data'!L80</f>
        <v>2.4160000000000093</v>
      </c>
      <c r="R68">
        <f>'FOB Data'!N80</f>
        <v>142</v>
      </c>
      <c r="S68">
        <f t="shared" si="0"/>
        <v>359.54399999999998</v>
      </c>
      <c r="T68">
        <f>'FOB Data'!O80</f>
        <v>2.532</v>
      </c>
      <c r="V68">
        <f>'FOB Data'!Q80</f>
        <v>142</v>
      </c>
      <c r="W68">
        <f t="shared" si="1"/>
        <v>255.6</v>
      </c>
      <c r="X68">
        <f>'FOB Data'!R80</f>
        <v>1.8</v>
      </c>
      <c r="Z68">
        <f t="shared" si="2"/>
        <v>142</v>
      </c>
      <c r="AA68">
        <f t="shared" si="3"/>
        <v>314.67200000000128</v>
      </c>
      <c r="AB68">
        <f>'FOB Data'!U80</f>
        <v>2.2160000000000091</v>
      </c>
      <c r="AD68">
        <f t="shared" si="4"/>
        <v>142</v>
      </c>
      <c r="AE68">
        <f t="shared" si="5"/>
        <v>399.87200000000132</v>
      </c>
      <c r="AF68">
        <f>'FOB Data'!X80</f>
        <v>2.8160000000000092</v>
      </c>
      <c r="AH68">
        <f t="shared" si="6"/>
        <v>142</v>
      </c>
      <c r="AI68">
        <f t="shared" si="7"/>
        <v>435.08799999999997</v>
      </c>
      <c r="AJ68">
        <f>'FOB Data'!AA80</f>
        <v>3.0639999999999996</v>
      </c>
    </row>
    <row r="69" spans="2:36">
      <c r="B69">
        <f t="shared" si="12"/>
        <v>143</v>
      </c>
      <c r="C69">
        <f t="shared" si="8"/>
        <v>392.10600000000136</v>
      </c>
      <c r="D69">
        <f>'FOB Data'!C81</f>
        <v>2.7420000000000093</v>
      </c>
      <c r="F69">
        <f t="shared" si="13"/>
        <v>143</v>
      </c>
      <c r="G69">
        <f t="shared" si="9"/>
        <v>373.80200000000139</v>
      </c>
      <c r="H69">
        <f>'FOB Data'!F81</f>
        <v>2.6140000000000096</v>
      </c>
      <c r="J69">
        <f>'FOB Data'!H81</f>
        <v>143</v>
      </c>
      <c r="K69">
        <f t="shared" si="10"/>
        <v>318.83279999999917</v>
      </c>
      <c r="L69">
        <f>'FOB Data'!I81</f>
        <v>2.2295999999999943</v>
      </c>
      <c r="N69">
        <f>'FOB Data'!K81</f>
        <v>143</v>
      </c>
      <c r="O69">
        <f t="shared" si="11"/>
        <v>345.20200000000136</v>
      </c>
      <c r="P69">
        <f>'FOB Data'!L81</f>
        <v>2.4140000000000095</v>
      </c>
      <c r="R69">
        <f>'FOB Data'!N81</f>
        <v>143</v>
      </c>
      <c r="S69">
        <f t="shared" si="0"/>
        <v>361.50400000000002</v>
      </c>
      <c r="T69">
        <f>'FOB Data'!O81</f>
        <v>2.528</v>
      </c>
      <c r="V69">
        <f>'FOB Data'!Q81</f>
        <v>143</v>
      </c>
      <c r="W69">
        <f t="shared" si="1"/>
        <v>257.40000000000003</v>
      </c>
      <c r="X69">
        <f>'FOB Data'!R81</f>
        <v>1.8</v>
      </c>
      <c r="Z69">
        <f t="shared" si="2"/>
        <v>143</v>
      </c>
      <c r="AA69">
        <f t="shared" si="3"/>
        <v>316.60200000000134</v>
      </c>
      <c r="AB69">
        <f>'FOB Data'!U81</f>
        <v>2.2140000000000093</v>
      </c>
      <c r="AD69">
        <f t="shared" si="4"/>
        <v>143</v>
      </c>
      <c r="AE69">
        <f t="shared" si="5"/>
        <v>402.40200000000135</v>
      </c>
      <c r="AF69">
        <f>'FOB Data'!X81</f>
        <v>2.8140000000000094</v>
      </c>
      <c r="AH69">
        <f t="shared" si="6"/>
        <v>143</v>
      </c>
      <c r="AI69">
        <f t="shared" si="7"/>
        <v>437.00799999999992</v>
      </c>
      <c r="AJ69">
        <f>'FOB Data'!AA81</f>
        <v>3.0559999999999996</v>
      </c>
    </row>
    <row r="70" spans="2:36">
      <c r="B70">
        <f t="shared" si="12"/>
        <v>144</v>
      </c>
      <c r="C70">
        <f t="shared" si="8"/>
        <v>393.9840000000014</v>
      </c>
      <c r="D70">
        <f>'FOB Data'!C82</f>
        <v>2.7360000000000095</v>
      </c>
      <c r="F70">
        <f t="shared" si="13"/>
        <v>144</v>
      </c>
      <c r="G70">
        <f t="shared" si="9"/>
        <v>376.12800000000141</v>
      </c>
      <c r="H70">
        <f>'FOB Data'!F82</f>
        <v>2.6120000000000099</v>
      </c>
      <c r="J70">
        <f>'FOB Data'!H82</f>
        <v>144</v>
      </c>
      <c r="K70">
        <f t="shared" si="10"/>
        <v>320.65919999999915</v>
      </c>
      <c r="L70">
        <f>'FOB Data'!I82</f>
        <v>2.2267999999999941</v>
      </c>
      <c r="N70">
        <f>'FOB Data'!K82</f>
        <v>144</v>
      </c>
      <c r="O70">
        <f t="shared" si="11"/>
        <v>347.3280000000014</v>
      </c>
      <c r="P70">
        <f>'FOB Data'!L82</f>
        <v>2.4120000000000097</v>
      </c>
      <c r="R70">
        <f>'FOB Data'!N82</f>
        <v>144</v>
      </c>
      <c r="S70">
        <f t="shared" ref="S70:S133" si="14">R70*T70</f>
        <v>363.45600000000002</v>
      </c>
      <c r="T70">
        <f>'FOB Data'!O82</f>
        <v>2.524</v>
      </c>
      <c r="V70">
        <f>'FOB Data'!Q82</f>
        <v>144</v>
      </c>
      <c r="W70">
        <f t="shared" ref="W70:W133" si="15">V70*X70</f>
        <v>259.2</v>
      </c>
      <c r="X70">
        <f>'FOB Data'!R82</f>
        <v>1.8</v>
      </c>
      <c r="Z70">
        <f t="shared" ref="Z70:Z133" si="16">V70</f>
        <v>144</v>
      </c>
      <c r="AA70">
        <f t="shared" ref="AA70:AA133" si="17">Z70*AB70</f>
        <v>318.52800000000138</v>
      </c>
      <c r="AB70">
        <f>'FOB Data'!U82</f>
        <v>2.2120000000000095</v>
      </c>
      <c r="AD70">
        <f t="shared" ref="AD70:AD133" si="18">Z70</f>
        <v>144</v>
      </c>
      <c r="AE70">
        <f t="shared" ref="AE70:AE133" si="19">AD70*AF70</f>
        <v>404.92800000000136</v>
      </c>
      <c r="AF70">
        <f>'FOB Data'!X82</f>
        <v>2.8120000000000096</v>
      </c>
      <c r="AH70">
        <f t="shared" ref="AH70:AH133" si="20">AD70</f>
        <v>144</v>
      </c>
      <c r="AI70">
        <f t="shared" ref="AI70:AI133" si="21">AH70*AJ70</f>
        <v>438.91199999999992</v>
      </c>
      <c r="AJ70">
        <f>'FOB Data'!AA82</f>
        <v>3.0479999999999996</v>
      </c>
    </row>
    <row r="71" spans="2:36">
      <c r="B71">
        <f t="shared" si="12"/>
        <v>145</v>
      </c>
      <c r="C71">
        <f t="shared" ref="C71:C134" si="22">B71*D71</f>
        <v>395.85000000000139</v>
      </c>
      <c r="D71">
        <f>'FOB Data'!C83</f>
        <v>2.7300000000000098</v>
      </c>
      <c r="F71">
        <f t="shared" si="13"/>
        <v>145</v>
      </c>
      <c r="G71">
        <f t="shared" ref="G71:G134" si="23">F71*H71</f>
        <v>378.45000000000147</v>
      </c>
      <c r="H71">
        <f>'FOB Data'!F83</f>
        <v>2.6100000000000101</v>
      </c>
      <c r="J71">
        <f>'FOB Data'!H83</f>
        <v>145</v>
      </c>
      <c r="K71">
        <f t="shared" ref="K71:K134" si="24">J71*L71</f>
        <v>322.47999999999911</v>
      </c>
      <c r="L71">
        <f>'FOB Data'!I83</f>
        <v>2.223999999999994</v>
      </c>
      <c r="N71">
        <f>'FOB Data'!K83</f>
        <v>145</v>
      </c>
      <c r="O71">
        <f t="shared" ref="O71:O134" si="25">N71*P71</f>
        <v>349.45000000000141</v>
      </c>
      <c r="P71">
        <f>'FOB Data'!L83</f>
        <v>2.4100000000000099</v>
      </c>
      <c r="R71">
        <f>'FOB Data'!N83</f>
        <v>145</v>
      </c>
      <c r="S71">
        <f t="shared" si="14"/>
        <v>365.4</v>
      </c>
      <c r="T71">
        <f>'FOB Data'!O83</f>
        <v>2.52</v>
      </c>
      <c r="V71">
        <f>'FOB Data'!Q83</f>
        <v>145</v>
      </c>
      <c r="W71">
        <f t="shared" si="15"/>
        <v>261</v>
      </c>
      <c r="X71">
        <f>'FOB Data'!R83</f>
        <v>1.8</v>
      </c>
      <c r="Z71">
        <f t="shared" si="16"/>
        <v>145</v>
      </c>
      <c r="AA71">
        <f t="shared" si="17"/>
        <v>320.45000000000141</v>
      </c>
      <c r="AB71">
        <f>'FOB Data'!U83</f>
        <v>2.2100000000000097</v>
      </c>
      <c r="AD71">
        <f t="shared" si="18"/>
        <v>145</v>
      </c>
      <c r="AE71">
        <f t="shared" si="19"/>
        <v>407.45000000000141</v>
      </c>
      <c r="AF71">
        <f>'FOB Data'!X83</f>
        <v>2.8100000000000098</v>
      </c>
      <c r="AH71">
        <f t="shared" si="20"/>
        <v>145</v>
      </c>
      <c r="AI71">
        <f t="shared" si="21"/>
        <v>440.79999999999995</v>
      </c>
      <c r="AJ71">
        <f>'FOB Data'!AA83</f>
        <v>3.0399999999999996</v>
      </c>
    </row>
    <row r="72" spans="2:36">
      <c r="B72">
        <f t="shared" ref="B72:B135" si="26">B71+1</f>
        <v>146</v>
      </c>
      <c r="C72">
        <f t="shared" si="22"/>
        <v>397.70400000000143</v>
      </c>
      <c r="D72">
        <f>'FOB Data'!C84</f>
        <v>2.72400000000001</v>
      </c>
      <c r="F72">
        <f t="shared" ref="F72:F135" si="27">F71+1</f>
        <v>146</v>
      </c>
      <c r="G72">
        <f t="shared" si="23"/>
        <v>380.76800000000151</v>
      </c>
      <c r="H72">
        <f>'FOB Data'!F84</f>
        <v>2.6080000000000103</v>
      </c>
      <c r="J72">
        <f>'FOB Data'!H84</f>
        <v>146</v>
      </c>
      <c r="K72">
        <f t="shared" si="24"/>
        <v>324.29519999999911</v>
      </c>
      <c r="L72">
        <f>'FOB Data'!I84</f>
        <v>2.2211999999999938</v>
      </c>
      <c r="N72">
        <f>'FOB Data'!K84</f>
        <v>146</v>
      </c>
      <c r="O72">
        <f t="shared" si="25"/>
        <v>351.56800000000146</v>
      </c>
      <c r="P72">
        <f>'FOB Data'!L84</f>
        <v>2.4080000000000101</v>
      </c>
      <c r="R72">
        <f>'FOB Data'!N84</f>
        <v>146</v>
      </c>
      <c r="S72">
        <f t="shared" si="14"/>
        <v>367.33600000000001</v>
      </c>
      <c r="T72">
        <f>'FOB Data'!O84</f>
        <v>2.516</v>
      </c>
      <c r="V72">
        <f>'FOB Data'!Q84</f>
        <v>146</v>
      </c>
      <c r="W72">
        <f t="shared" si="15"/>
        <v>262.8</v>
      </c>
      <c r="X72">
        <f>'FOB Data'!R84</f>
        <v>1.8</v>
      </c>
      <c r="Z72">
        <f t="shared" si="16"/>
        <v>146</v>
      </c>
      <c r="AA72">
        <f t="shared" si="17"/>
        <v>322.36800000000147</v>
      </c>
      <c r="AB72">
        <f>'FOB Data'!U84</f>
        <v>2.20800000000001</v>
      </c>
      <c r="AD72">
        <f t="shared" si="18"/>
        <v>146</v>
      </c>
      <c r="AE72">
        <f t="shared" si="19"/>
        <v>409.96800000000144</v>
      </c>
      <c r="AF72">
        <f>'FOB Data'!X84</f>
        <v>2.80800000000001</v>
      </c>
      <c r="AH72">
        <f t="shared" si="20"/>
        <v>146</v>
      </c>
      <c r="AI72">
        <f t="shared" si="21"/>
        <v>442.67199999999991</v>
      </c>
      <c r="AJ72">
        <f>'FOB Data'!AA84</f>
        <v>3.0319999999999996</v>
      </c>
    </row>
    <row r="73" spans="2:36">
      <c r="B73">
        <f t="shared" si="26"/>
        <v>147</v>
      </c>
      <c r="C73">
        <f t="shared" si="22"/>
        <v>399.54600000000147</v>
      </c>
      <c r="D73">
        <f>'FOB Data'!C85</f>
        <v>2.7180000000000102</v>
      </c>
      <c r="F73">
        <f t="shared" si="27"/>
        <v>147</v>
      </c>
      <c r="G73">
        <f t="shared" si="23"/>
        <v>383.08200000000153</v>
      </c>
      <c r="H73">
        <f>'FOB Data'!F85</f>
        <v>2.6060000000000105</v>
      </c>
      <c r="J73">
        <f>'FOB Data'!H85</f>
        <v>147</v>
      </c>
      <c r="K73">
        <f t="shared" si="24"/>
        <v>326.1047999999991</v>
      </c>
      <c r="L73">
        <f>'FOB Data'!I85</f>
        <v>2.2183999999999937</v>
      </c>
      <c r="N73">
        <f>'FOB Data'!K85</f>
        <v>147</v>
      </c>
      <c r="O73">
        <f t="shared" si="25"/>
        <v>353.68200000000149</v>
      </c>
      <c r="P73">
        <f>'FOB Data'!L85</f>
        <v>2.4060000000000104</v>
      </c>
      <c r="R73">
        <f>'FOB Data'!N85</f>
        <v>147</v>
      </c>
      <c r="S73">
        <f t="shared" si="14"/>
        <v>369.26400000000001</v>
      </c>
      <c r="T73">
        <f>'FOB Data'!O85</f>
        <v>2.512</v>
      </c>
      <c r="V73">
        <f>'FOB Data'!Q85</f>
        <v>147</v>
      </c>
      <c r="W73">
        <f t="shared" si="15"/>
        <v>264.60000000000002</v>
      </c>
      <c r="X73">
        <f>'FOB Data'!R85</f>
        <v>1.8</v>
      </c>
      <c r="Z73">
        <f t="shared" si="16"/>
        <v>147</v>
      </c>
      <c r="AA73">
        <f t="shared" si="17"/>
        <v>324.28200000000152</v>
      </c>
      <c r="AB73">
        <f>'FOB Data'!U85</f>
        <v>2.2060000000000102</v>
      </c>
      <c r="AD73">
        <f t="shared" si="18"/>
        <v>147</v>
      </c>
      <c r="AE73">
        <f t="shared" si="19"/>
        <v>412.48200000000151</v>
      </c>
      <c r="AF73">
        <f>'FOB Data'!X85</f>
        <v>2.8060000000000103</v>
      </c>
      <c r="AH73">
        <f t="shared" si="20"/>
        <v>147</v>
      </c>
      <c r="AI73">
        <f t="shared" si="21"/>
        <v>444.52799999999996</v>
      </c>
      <c r="AJ73">
        <f>'FOB Data'!AA85</f>
        <v>3.0239999999999996</v>
      </c>
    </row>
    <row r="74" spans="2:36">
      <c r="B74">
        <f t="shared" si="26"/>
        <v>148</v>
      </c>
      <c r="C74">
        <f t="shared" si="22"/>
        <v>401.37600000000157</v>
      </c>
      <c r="D74">
        <f>'FOB Data'!C86</f>
        <v>2.7120000000000104</v>
      </c>
      <c r="F74">
        <f t="shared" si="27"/>
        <v>148</v>
      </c>
      <c r="G74">
        <f t="shared" si="23"/>
        <v>385.39200000000159</v>
      </c>
      <c r="H74">
        <f>'FOB Data'!F86</f>
        <v>2.6040000000000108</v>
      </c>
      <c r="J74">
        <f>'FOB Data'!H86</f>
        <v>148</v>
      </c>
      <c r="K74">
        <f t="shared" si="24"/>
        <v>327.90879999999908</v>
      </c>
      <c r="L74">
        <f>'FOB Data'!I86</f>
        <v>2.2155999999999936</v>
      </c>
      <c r="N74">
        <f>'FOB Data'!K86</f>
        <v>148</v>
      </c>
      <c r="O74">
        <f t="shared" si="25"/>
        <v>355.79200000000156</v>
      </c>
      <c r="P74">
        <f>'FOB Data'!L86</f>
        <v>2.4040000000000106</v>
      </c>
      <c r="R74">
        <f>'FOB Data'!N86</f>
        <v>148</v>
      </c>
      <c r="S74">
        <f t="shared" si="14"/>
        <v>371.18400000000003</v>
      </c>
      <c r="T74">
        <f>'FOB Data'!O86</f>
        <v>2.508</v>
      </c>
      <c r="V74">
        <f>'FOB Data'!Q86</f>
        <v>148</v>
      </c>
      <c r="W74">
        <f t="shared" si="15"/>
        <v>266.40000000000003</v>
      </c>
      <c r="X74">
        <f>'FOB Data'!R86</f>
        <v>1.8</v>
      </c>
      <c r="Z74">
        <f t="shared" si="16"/>
        <v>148</v>
      </c>
      <c r="AA74">
        <f t="shared" si="17"/>
        <v>326.19200000000154</v>
      </c>
      <c r="AB74">
        <f>'FOB Data'!U86</f>
        <v>2.2040000000000104</v>
      </c>
      <c r="AD74">
        <f t="shared" si="18"/>
        <v>148</v>
      </c>
      <c r="AE74">
        <f t="shared" si="19"/>
        <v>414.99200000000155</v>
      </c>
      <c r="AF74">
        <f>'FOB Data'!X86</f>
        <v>2.8040000000000105</v>
      </c>
      <c r="AH74">
        <f t="shared" si="20"/>
        <v>148</v>
      </c>
      <c r="AI74">
        <f t="shared" si="21"/>
        <v>446.36799999999994</v>
      </c>
      <c r="AJ74">
        <f>'FOB Data'!AA86</f>
        <v>3.0159999999999996</v>
      </c>
    </row>
    <row r="75" spans="2:36">
      <c r="B75">
        <f t="shared" si="26"/>
        <v>149</v>
      </c>
      <c r="C75">
        <f t="shared" si="22"/>
        <v>403.19400000000161</v>
      </c>
      <c r="D75">
        <f>'FOB Data'!C87</f>
        <v>2.7060000000000106</v>
      </c>
      <c r="F75">
        <f t="shared" si="27"/>
        <v>149</v>
      </c>
      <c r="G75">
        <f t="shared" si="23"/>
        <v>387.69800000000163</v>
      </c>
      <c r="H75">
        <f>'FOB Data'!F87</f>
        <v>2.602000000000011</v>
      </c>
      <c r="J75">
        <f>'FOB Data'!H87</f>
        <v>149</v>
      </c>
      <c r="K75">
        <f t="shared" si="24"/>
        <v>329.70719999999903</v>
      </c>
      <c r="L75">
        <f>'FOB Data'!I87</f>
        <v>2.2127999999999934</v>
      </c>
      <c r="N75">
        <f>'FOB Data'!K87</f>
        <v>149</v>
      </c>
      <c r="O75">
        <f t="shared" si="25"/>
        <v>357.89800000000162</v>
      </c>
      <c r="P75">
        <f>'FOB Data'!L87</f>
        <v>2.4020000000000108</v>
      </c>
      <c r="R75">
        <f>'FOB Data'!N87</f>
        <v>149</v>
      </c>
      <c r="S75">
        <f t="shared" si="14"/>
        <v>373.096</v>
      </c>
      <c r="T75">
        <f>'FOB Data'!O87</f>
        <v>2.504</v>
      </c>
      <c r="V75">
        <f>'FOB Data'!Q87</f>
        <v>149</v>
      </c>
      <c r="W75">
        <f t="shared" si="15"/>
        <v>268.2</v>
      </c>
      <c r="X75">
        <f>'FOB Data'!R87</f>
        <v>1.8</v>
      </c>
      <c r="Z75">
        <f t="shared" si="16"/>
        <v>149</v>
      </c>
      <c r="AA75">
        <f t="shared" si="17"/>
        <v>328.0980000000016</v>
      </c>
      <c r="AB75">
        <f>'FOB Data'!U87</f>
        <v>2.2020000000000106</v>
      </c>
      <c r="AD75">
        <f t="shared" si="18"/>
        <v>149</v>
      </c>
      <c r="AE75">
        <f t="shared" si="19"/>
        <v>417.49800000000158</v>
      </c>
      <c r="AF75">
        <f>'FOB Data'!X87</f>
        <v>2.8020000000000107</v>
      </c>
      <c r="AH75">
        <f t="shared" si="20"/>
        <v>149</v>
      </c>
      <c r="AI75">
        <f t="shared" si="21"/>
        <v>448.19199999999995</v>
      </c>
      <c r="AJ75">
        <f>'FOB Data'!AA87</f>
        <v>3.0079999999999996</v>
      </c>
    </row>
    <row r="76" spans="2:36">
      <c r="B76">
        <f t="shared" si="26"/>
        <v>150</v>
      </c>
      <c r="C76">
        <f t="shared" si="22"/>
        <v>405</v>
      </c>
      <c r="D76">
        <f>'FOB Data'!C88</f>
        <v>2.7</v>
      </c>
      <c r="F76">
        <f t="shared" si="27"/>
        <v>150</v>
      </c>
      <c r="G76">
        <f t="shared" si="23"/>
        <v>390</v>
      </c>
      <c r="H76">
        <f>'FOB Data'!F88</f>
        <v>2.6</v>
      </c>
      <c r="J76">
        <f>'FOB Data'!H88</f>
        <v>150</v>
      </c>
      <c r="K76">
        <f t="shared" si="24"/>
        <v>331.5</v>
      </c>
      <c r="L76">
        <f>'FOB Data'!I88</f>
        <v>2.21</v>
      </c>
      <c r="N76">
        <f>'FOB Data'!K88</f>
        <v>150</v>
      </c>
      <c r="O76">
        <f t="shared" si="25"/>
        <v>360</v>
      </c>
      <c r="P76">
        <f>'FOB Data'!L88</f>
        <v>2.4</v>
      </c>
      <c r="R76">
        <f>'FOB Data'!N88</f>
        <v>150</v>
      </c>
      <c r="S76">
        <f t="shared" si="14"/>
        <v>375</v>
      </c>
      <c r="T76">
        <f>'FOB Data'!O88</f>
        <v>2.5</v>
      </c>
      <c r="V76">
        <f>'FOB Data'!Q88</f>
        <v>150</v>
      </c>
      <c r="W76">
        <f t="shared" si="15"/>
        <v>270</v>
      </c>
      <c r="X76">
        <f>'FOB Data'!R88</f>
        <v>1.8</v>
      </c>
      <c r="Z76">
        <f t="shared" si="16"/>
        <v>150</v>
      </c>
      <c r="AA76">
        <f t="shared" si="17"/>
        <v>330</v>
      </c>
      <c r="AB76">
        <f>'FOB Data'!U88</f>
        <v>2.2000000000000002</v>
      </c>
      <c r="AD76">
        <f t="shared" si="18"/>
        <v>150</v>
      </c>
      <c r="AE76">
        <f t="shared" si="19"/>
        <v>420</v>
      </c>
      <c r="AF76">
        <f>'FOB Data'!X88</f>
        <v>2.8</v>
      </c>
      <c r="AH76">
        <f t="shared" si="20"/>
        <v>150</v>
      </c>
      <c r="AI76">
        <f t="shared" si="21"/>
        <v>450</v>
      </c>
      <c r="AJ76">
        <f>'FOB Data'!AA88</f>
        <v>3</v>
      </c>
    </row>
    <row r="77" spans="2:36">
      <c r="B77">
        <f t="shared" si="26"/>
        <v>151</v>
      </c>
      <c r="C77">
        <f t="shared" si="22"/>
        <v>407.096</v>
      </c>
      <c r="D77">
        <f>'FOB Data'!C89</f>
        <v>2.6960000000000002</v>
      </c>
      <c r="F77">
        <f t="shared" si="27"/>
        <v>151</v>
      </c>
      <c r="G77">
        <f t="shared" si="23"/>
        <v>392.29800000000006</v>
      </c>
      <c r="H77">
        <f>'FOB Data'!F89</f>
        <v>2.5980000000000003</v>
      </c>
      <c r="J77">
        <f>'FOB Data'!H89</f>
        <v>151</v>
      </c>
      <c r="K77">
        <f t="shared" si="24"/>
        <v>333.49860000000001</v>
      </c>
      <c r="L77">
        <f>'FOB Data'!I89</f>
        <v>2.2086000000000001</v>
      </c>
      <c r="N77">
        <f>'FOB Data'!K89</f>
        <v>151</v>
      </c>
      <c r="O77">
        <f t="shared" si="25"/>
        <v>362.4</v>
      </c>
      <c r="P77">
        <f>'FOB Data'!L89</f>
        <v>2.4</v>
      </c>
      <c r="R77">
        <f>'FOB Data'!N89</f>
        <v>151</v>
      </c>
      <c r="S77">
        <f t="shared" si="14"/>
        <v>377.19800000000004</v>
      </c>
      <c r="T77">
        <f>'FOB Data'!O89</f>
        <v>2.4980000000000002</v>
      </c>
      <c r="V77">
        <f>'FOB Data'!Q89</f>
        <v>151</v>
      </c>
      <c r="W77">
        <f t="shared" si="15"/>
        <v>271.8</v>
      </c>
      <c r="X77">
        <f>'FOB Data'!R89</f>
        <v>1.8</v>
      </c>
      <c r="Z77">
        <f t="shared" si="16"/>
        <v>151</v>
      </c>
      <c r="AA77">
        <f t="shared" si="17"/>
        <v>331.89800000000008</v>
      </c>
      <c r="AB77">
        <f>'FOB Data'!U89</f>
        <v>2.1980000000000004</v>
      </c>
      <c r="AD77">
        <f t="shared" si="18"/>
        <v>151</v>
      </c>
      <c r="AE77">
        <f t="shared" si="19"/>
        <v>422.79999999999995</v>
      </c>
      <c r="AF77">
        <f>'FOB Data'!X89</f>
        <v>2.8</v>
      </c>
      <c r="AH77">
        <f t="shared" si="20"/>
        <v>151</v>
      </c>
      <c r="AI77">
        <f t="shared" si="21"/>
        <v>451.79199999999997</v>
      </c>
      <c r="AJ77">
        <f>'FOB Data'!AA89</f>
        <v>2.992</v>
      </c>
    </row>
    <row r="78" spans="2:36">
      <c r="B78">
        <f t="shared" si="26"/>
        <v>152</v>
      </c>
      <c r="C78">
        <f t="shared" si="22"/>
        <v>409.18400000000003</v>
      </c>
      <c r="D78">
        <f>'FOB Data'!C90</f>
        <v>2.6920000000000002</v>
      </c>
      <c r="F78">
        <f t="shared" si="27"/>
        <v>152</v>
      </c>
      <c r="G78">
        <f t="shared" si="23"/>
        <v>394.5920000000001</v>
      </c>
      <c r="H78">
        <f>'FOB Data'!F90</f>
        <v>2.5960000000000005</v>
      </c>
      <c r="J78">
        <f>'FOB Data'!H90</f>
        <v>152</v>
      </c>
      <c r="K78">
        <f t="shared" si="24"/>
        <v>335.49440000000004</v>
      </c>
      <c r="L78">
        <f>'FOB Data'!I90</f>
        <v>2.2072000000000003</v>
      </c>
      <c r="N78">
        <f>'FOB Data'!K90</f>
        <v>152</v>
      </c>
      <c r="O78">
        <f t="shared" si="25"/>
        <v>364.8</v>
      </c>
      <c r="P78">
        <f>'FOB Data'!L90</f>
        <v>2.4</v>
      </c>
      <c r="R78">
        <f>'FOB Data'!N90</f>
        <v>152</v>
      </c>
      <c r="S78">
        <f t="shared" si="14"/>
        <v>379.39200000000005</v>
      </c>
      <c r="T78">
        <f>'FOB Data'!O90</f>
        <v>2.4960000000000004</v>
      </c>
      <c r="V78">
        <f>'FOB Data'!Q90</f>
        <v>152</v>
      </c>
      <c r="W78">
        <f t="shared" si="15"/>
        <v>273.60000000000002</v>
      </c>
      <c r="X78">
        <f>'FOB Data'!R90</f>
        <v>1.8</v>
      </c>
      <c r="Z78">
        <f t="shared" si="16"/>
        <v>152</v>
      </c>
      <c r="AA78">
        <f t="shared" si="17"/>
        <v>333.79200000000009</v>
      </c>
      <c r="AB78">
        <f>'FOB Data'!U90</f>
        <v>2.1960000000000006</v>
      </c>
      <c r="AD78">
        <f t="shared" si="18"/>
        <v>152</v>
      </c>
      <c r="AE78">
        <f t="shared" si="19"/>
        <v>425.59999999999997</v>
      </c>
      <c r="AF78">
        <f>'FOB Data'!X90</f>
        <v>2.8</v>
      </c>
      <c r="AH78">
        <f t="shared" si="20"/>
        <v>152</v>
      </c>
      <c r="AI78">
        <f t="shared" si="21"/>
        <v>453.56799999999998</v>
      </c>
      <c r="AJ78">
        <f>'FOB Data'!AA90</f>
        <v>2.984</v>
      </c>
    </row>
    <row r="79" spans="2:36">
      <c r="B79">
        <f t="shared" si="26"/>
        <v>153</v>
      </c>
      <c r="C79">
        <f t="shared" si="22"/>
        <v>411.26400000000001</v>
      </c>
      <c r="D79">
        <f>'FOB Data'!C91</f>
        <v>2.6880000000000002</v>
      </c>
      <c r="F79">
        <f t="shared" si="27"/>
        <v>153</v>
      </c>
      <c r="G79">
        <f t="shared" si="23"/>
        <v>396.88200000000012</v>
      </c>
      <c r="H79">
        <f>'FOB Data'!F91</f>
        <v>2.5940000000000007</v>
      </c>
      <c r="J79">
        <f>'FOB Data'!H91</f>
        <v>153</v>
      </c>
      <c r="K79">
        <f t="shared" si="24"/>
        <v>337.48740000000009</v>
      </c>
      <c r="L79">
        <f>'FOB Data'!I91</f>
        <v>2.2058000000000004</v>
      </c>
      <c r="N79">
        <f>'FOB Data'!K91</f>
        <v>153</v>
      </c>
      <c r="O79">
        <f t="shared" si="25"/>
        <v>367.2</v>
      </c>
      <c r="P79">
        <f>'FOB Data'!L91</f>
        <v>2.4</v>
      </c>
      <c r="R79">
        <f>'FOB Data'!N91</f>
        <v>153</v>
      </c>
      <c r="S79">
        <f t="shared" si="14"/>
        <v>381.58200000000011</v>
      </c>
      <c r="T79">
        <f>'FOB Data'!O91</f>
        <v>2.4940000000000007</v>
      </c>
      <c r="V79">
        <f>'FOB Data'!Q91</f>
        <v>153</v>
      </c>
      <c r="W79">
        <f t="shared" si="15"/>
        <v>275.40000000000003</v>
      </c>
      <c r="X79">
        <f>'FOB Data'!R91</f>
        <v>1.8</v>
      </c>
      <c r="Z79">
        <f t="shared" si="16"/>
        <v>153</v>
      </c>
      <c r="AA79">
        <f t="shared" si="17"/>
        <v>335.68200000000013</v>
      </c>
      <c r="AB79">
        <f>'FOB Data'!U91</f>
        <v>2.1940000000000008</v>
      </c>
      <c r="AD79">
        <f t="shared" si="18"/>
        <v>153</v>
      </c>
      <c r="AE79">
        <f t="shared" si="19"/>
        <v>428.4</v>
      </c>
      <c r="AF79">
        <f>'FOB Data'!X91</f>
        <v>2.8</v>
      </c>
      <c r="AH79">
        <f t="shared" si="20"/>
        <v>153</v>
      </c>
      <c r="AI79">
        <f t="shared" si="21"/>
        <v>455.32799999999997</v>
      </c>
      <c r="AJ79">
        <f>'FOB Data'!AA91</f>
        <v>2.976</v>
      </c>
    </row>
    <row r="80" spans="2:36">
      <c r="B80">
        <f t="shared" si="26"/>
        <v>154</v>
      </c>
      <c r="C80">
        <f t="shared" si="22"/>
        <v>413.33600000000001</v>
      </c>
      <c r="D80">
        <f>'FOB Data'!C92</f>
        <v>2.6840000000000002</v>
      </c>
      <c r="F80">
        <f t="shared" si="27"/>
        <v>154</v>
      </c>
      <c r="G80">
        <f t="shared" si="23"/>
        <v>399.16800000000018</v>
      </c>
      <c r="H80">
        <f>'FOB Data'!F92</f>
        <v>2.592000000000001</v>
      </c>
      <c r="J80">
        <f>'FOB Data'!H92</f>
        <v>154</v>
      </c>
      <c r="K80">
        <f t="shared" si="24"/>
        <v>339.47760000000011</v>
      </c>
      <c r="L80">
        <f>'FOB Data'!I92</f>
        <v>2.2044000000000006</v>
      </c>
      <c r="N80">
        <f>'FOB Data'!K92</f>
        <v>154</v>
      </c>
      <c r="O80">
        <f t="shared" si="25"/>
        <v>369.59999999999997</v>
      </c>
      <c r="P80">
        <f>'FOB Data'!L92</f>
        <v>2.4</v>
      </c>
      <c r="R80">
        <f>'FOB Data'!N92</f>
        <v>154</v>
      </c>
      <c r="S80">
        <f t="shared" si="14"/>
        <v>383.76800000000014</v>
      </c>
      <c r="T80">
        <f>'FOB Data'!O92</f>
        <v>2.4920000000000009</v>
      </c>
      <c r="V80">
        <f>'FOB Data'!Q92</f>
        <v>154</v>
      </c>
      <c r="W80">
        <f t="shared" si="15"/>
        <v>277.2</v>
      </c>
      <c r="X80">
        <f>'FOB Data'!R92</f>
        <v>1.8</v>
      </c>
      <c r="Z80">
        <f t="shared" si="16"/>
        <v>154</v>
      </c>
      <c r="AA80">
        <f t="shared" si="17"/>
        <v>337.56800000000015</v>
      </c>
      <c r="AB80">
        <f>'FOB Data'!U92</f>
        <v>2.1920000000000011</v>
      </c>
      <c r="AD80">
        <f t="shared" si="18"/>
        <v>154</v>
      </c>
      <c r="AE80">
        <f t="shared" si="19"/>
        <v>431.2</v>
      </c>
      <c r="AF80">
        <f>'FOB Data'!X92</f>
        <v>2.8</v>
      </c>
      <c r="AH80">
        <f t="shared" si="20"/>
        <v>154</v>
      </c>
      <c r="AI80">
        <f t="shared" si="21"/>
        <v>457.072</v>
      </c>
      <c r="AJ80">
        <f>'FOB Data'!AA92</f>
        <v>2.968</v>
      </c>
    </row>
    <row r="81" spans="2:36">
      <c r="B81">
        <f t="shared" si="26"/>
        <v>155</v>
      </c>
      <c r="C81">
        <f t="shared" si="22"/>
        <v>415.40000000000003</v>
      </c>
      <c r="D81">
        <f>'FOB Data'!C93</f>
        <v>2.68</v>
      </c>
      <c r="F81">
        <f t="shared" si="27"/>
        <v>155</v>
      </c>
      <c r="G81">
        <f t="shared" si="23"/>
        <v>401.45000000000016</v>
      </c>
      <c r="H81">
        <f>'FOB Data'!F93</f>
        <v>2.5900000000000012</v>
      </c>
      <c r="J81">
        <f>'FOB Data'!H93</f>
        <v>155</v>
      </c>
      <c r="K81">
        <f t="shared" si="24"/>
        <v>341.46500000000009</v>
      </c>
      <c r="L81">
        <f>'FOB Data'!I93</f>
        <v>2.2030000000000007</v>
      </c>
      <c r="N81">
        <f>'FOB Data'!K93</f>
        <v>155</v>
      </c>
      <c r="O81">
        <f t="shared" si="25"/>
        <v>372</v>
      </c>
      <c r="P81">
        <f>'FOB Data'!L93</f>
        <v>2.4</v>
      </c>
      <c r="R81">
        <f>'FOB Data'!N93</f>
        <v>155</v>
      </c>
      <c r="S81">
        <f t="shared" si="14"/>
        <v>385.95000000000016</v>
      </c>
      <c r="T81">
        <f>'FOB Data'!O93</f>
        <v>2.4900000000000011</v>
      </c>
      <c r="V81">
        <f>'FOB Data'!Q93</f>
        <v>155</v>
      </c>
      <c r="W81">
        <f t="shared" si="15"/>
        <v>279</v>
      </c>
      <c r="X81">
        <f>'FOB Data'!R93</f>
        <v>1.8</v>
      </c>
      <c r="Z81">
        <f t="shared" si="16"/>
        <v>155</v>
      </c>
      <c r="AA81">
        <f t="shared" si="17"/>
        <v>339.45000000000022</v>
      </c>
      <c r="AB81">
        <f>'FOB Data'!U93</f>
        <v>2.1900000000000013</v>
      </c>
      <c r="AD81">
        <f t="shared" si="18"/>
        <v>155</v>
      </c>
      <c r="AE81">
        <f t="shared" si="19"/>
        <v>434</v>
      </c>
      <c r="AF81">
        <f>'FOB Data'!X93</f>
        <v>2.8</v>
      </c>
      <c r="AH81">
        <f t="shared" si="20"/>
        <v>155</v>
      </c>
      <c r="AI81">
        <f t="shared" si="21"/>
        <v>458.8</v>
      </c>
      <c r="AJ81">
        <f>'FOB Data'!AA93</f>
        <v>2.96</v>
      </c>
    </row>
    <row r="82" spans="2:36">
      <c r="B82">
        <f t="shared" si="26"/>
        <v>156</v>
      </c>
      <c r="C82">
        <f t="shared" si="22"/>
        <v>417.45600000000002</v>
      </c>
      <c r="D82">
        <f>'FOB Data'!C94</f>
        <v>2.6760000000000002</v>
      </c>
      <c r="F82">
        <f t="shared" si="27"/>
        <v>156</v>
      </c>
      <c r="G82">
        <f t="shared" si="23"/>
        <v>403.72800000000024</v>
      </c>
      <c r="H82">
        <f>'FOB Data'!F94</f>
        <v>2.5880000000000014</v>
      </c>
      <c r="J82">
        <f>'FOB Data'!H94</f>
        <v>156</v>
      </c>
      <c r="K82">
        <f t="shared" si="24"/>
        <v>343.44960000000015</v>
      </c>
      <c r="L82">
        <f>'FOB Data'!I94</f>
        <v>2.2016000000000009</v>
      </c>
      <c r="N82">
        <f>'FOB Data'!K94</f>
        <v>156</v>
      </c>
      <c r="O82">
        <f t="shared" si="25"/>
        <v>374.4</v>
      </c>
      <c r="P82">
        <f>'FOB Data'!L94</f>
        <v>2.4</v>
      </c>
      <c r="R82">
        <f>'FOB Data'!N94</f>
        <v>156</v>
      </c>
      <c r="S82">
        <f t="shared" si="14"/>
        <v>388.12800000000021</v>
      </c>
      <c r="T82">
        <f>'FOB Data'!O94</f>
        <v>2.4880000000000013</v>
      </c>
      <c r="V82">
        <f>'FOB Data'!Q94</f>
        <v>156</v>
      </c>
      <c r="W82">
        <f t="shared" si="15"/>
        <v>280.8</v>
      </c>
      <c r="X82">
        <f>'FOB Data'!R94</f>
        <v>1.8</v>
      </c>
      <c r="Z82">
        <f t="shared" si="16"/>
        <v>156</v>
      </c>
      <c r="AA82">
        <f t="shared" si="17"/>
        <v>341.32800000000026</v>
      </c>
      <c r="AB82">
        <f>'FOB Data'!U94</f>
        <v>2.1880000000000015</v>
      </c>
      <c r="AD82">
        <f t="shared" si="18"/>
        <v>156</v>
      </c>
      <c r="AE82">
        <f t="shared" si="19"/>
        <v>436.79999999999995</v>
      </c>
      <c r="AF82">
        <f>'FOB Data'!X94</f>
        <v>2.8</v>
      </c>
      <c r="AH82">
        <f t="shared" si="20"/>
        <v>156</v>
      </c>
      <c r="AI82">
        <f t="shared" si="21"/>
        <v>460.512</v>
      </c>
      <c r="AJ82">
        <f>'FOB Data'!AA94</f>
        <v>2.952</v>
      </c>
    </row>
    <row r="83" spans="2:36">
      <c r="B83">
        <f t="shared" si="26"/>
        <v>157</v>
      </c>
      <c r="C83">
        <f t="shared" si="22"/>
        <v>419.50400000000002</v>
      </c>
      <c r="D83">
        <f>'FOB Data'!C95</f>
        <v>2.6720000000000002</v>
      </c>
      <c r="F83">
        <f t="shared" si="27"/>
        <v>157</v>
      </c>
      <c r="G83">
        <f t="shared" si="23"/>
        <v>406.00200000000024</v>
      </c>
      <c r="H83">
        <f>'FOB Data'!F95</f>
        <v>2.5860000000000016</v>
      </c>
      <c r="J83">
        <f>'FOB Data'!H95</f>
        <v>157</v>
      </c>
      <c r="K83">
        <f t="shared" si="24"/>
        <v>345.43140000000017</v>
      </c>
      <c r="L83">
        <f>'FOB Data'!I95</f>
        <v>2.200200000000001</v>
      </c>
      <c r="N83">
        <f>'FOB Data'!K95</f>
        <v>157</v>
      </c>
      <c r="O83">
        <f t="shared" si="25"/>
        <v>376.8</v>
      </c>
      <c r="P83">
        <f>'FOB Data'!L95</f>
        <v>2.4</v>
      </c>
      <c r="R83">
        <f>'FOB Data'!N95</f>
        <v>157</v>
      </c>
      <c r="S83">
        <f t="shared" si="14"/>
        <v>390.30200000000025</v>
      </c>
      <c r="T83">
        <f>'FOB Data'!O95</f>
        <v>2.4860000000000015</v>
      </c>
      <c r="V83">
        <f>'FOB Data'!Q95</f>
        <v>157</v>
      </c>
      <c r="W83">
        <f t="shared" si="15"/>
        <v>282.60000000000002</v>
      </c>
      <c r="X83">
        <f>'FOB Data'!R95</f>
        <v>1.8</v>
      </c>
      <c r="Z83">
        <f t="shared" si="16"/>
        <v>157</v>
      </c>
      <c r="AA83">
        <f t="shared" si="17"/>
        <v>343.20200000000028</v>
      </c>
      <c r="AB83">
        <f>'FOB Data'!U95</f>
        <v>2.1860000000000017</v>
      </c>
      <c r="AD83">
        <f t="shared" si="18"/>
        <v>157</v>
      </c>
      <c r="AE83">
        <f t="shared" si="19"/>
        <v>439.59999999999997</v>
      </c>
      <c r="AF83">
        <f>'FOB Data'!X95</f>
        <v>2.8</v>
      </c>
      <c r="AH83">
        <f t="shared" si="20"/>
        <v>157</v>
      </c>
      <c r="AI83">
        <f t="shared" si="21"/>
        <v>462.20799999999997</v>
      </c>
      <c r="AJ83">
        <f>'FOB Data'!AA95</f>
        <v>2.944</v>
      </c>
    </row>
    <row r="84" spans="2:36">
      <c r="B84">
        <f t="shared" si="26"/>
        <v>158</v>
      </c>
      <c r="C84">
        <f t="shared" si="22"/>
        <v>421.54400000000004</v>
      </c>
      <c r="D84">
        <f>'FOB Data'!C96</f>
        <v>2.6680000000000001</v>
      </c>
      <c r="F84">
        <f t="shared" si="27"/>
        <v>158</v>
      </c>
      <c r="G84">
        <f t="shared" si="23"/>
        <v>408.27200000000028</v>
      </c>
      <c r="H84">
        <f>'FOB Data'!F96</f>
        <v>2.5840000000000019</v>
      </c>
      <c r="J84">
        <f>'FOB Data'!H96</f>
        <v>158</v>
      </c>
      <c r="K84">
        <f t="shared" si="24"/>
        <v>347.41040000000021</v>
      </c>
      <c r="L84">
        <f>'FOB Data'!I96</f>
        <v>2.1988000000000012</v>
      </c>
      <c r="N84">
        <f>'FOB Data'!K96</f>
        <v>158</v>
      </c>
      <c r="O84">
        <f t="shared" si="25"/>
        <v>379.2</v>
      </c>
      <c r="P84">
        <f>'FOB Data'!L96</f>
        <v>2.4</v>
      </c>
      <c r="R84">
        <f>'FOB Data'!N96</f>
        <v>158</v>
      </c>
      <c r="S84">
        <f t="shared" si="14"/>
        <v>392.47200000000026</v>
      </c>
      <c r="T84">
        <f>'FOB Data'!O96</f>
        <v>2.4840000000000018</v>
      </c>
      <c r="V84">
        <f>'FOB Data'!Q96</f>
        <v>158</v>
      </c>
      <c r="W84">
        <f t="shared" si="15"/>
        <v>284.40000000000003</v>
      </c>
      <c r="X84">
        <f>'FOB Data'!R96</f>
        <v>1.8</v>
      </c>
      <c r="Z84">
        <f t="shared" si="16"/>
        <v>158</v>
      </c>
      <c r="AA84">
        <f t="shared" si="17"/>
        <v>345.07200000000029</v>
      </c>
      <c r="AB84">
        <f>'FOB Data'!U96</f>
        <v>2.1840000000000019</v>
      </c>
      <c r="AD84">
        <f t="shared" si="18"/>
        <v>158</v>
      </c>
      <c r="AE84">
        <f t="shared" si="19"/>
        <v>442.4</v>
      </c>
      <c r="AF84">
        <f>'FOB Data'!X96</f>
        <v>2.8</v>
      </c>
      <c r="AH84">
        <f t="shared" si="20"/>
        <v>158</v>
      </c>
      <c r="AI84">
        <f t="shared" si="21"/>
        <v>463.88799999999998</v>
      </c>
      <c r="AJ84">
        <f>'FOB Data'!AA96</f>
        <v>2.9359999999999999</v>
      </c>
    </row>
    <row r="85" spans="2:36">
      <c r="B85">
        <f t="shared" si="26"/>
        <v>159</v>
      </c>
      <c r="C85">
        <f t="shared" si="22"/>
        <v>423.57600000000002</v>
      </c>
      <c r="D85">
        <f>'FOB Data'!C97</f>
        <v>2.6640000000000001</v>
      </c>
      <c r="F85">
        <f t="shared" si="27"/>
        <v>159</v>
      </c>
      <c r="G85">
        <f t="shared" si="23"/>
        <v>410.53800000000035</v>
      </c>
      <c r="H85">
        <f>'FOB Data'!F97</f>
        <v>2.5820000000000021</v>
      </c>
      <c r="J85">
        <f>'FOB Data'!H97</f>
        <v>159</v>
      </c>
      <c r="K85">
        <f t="shared" si="24"/>
        <v>349.38660000000021</v>
      </c>
      <c r="L85">
        <f>'FOB Data'!I97</f>
        <v>2.1974000000000014</v>
      </c>
      <c r="N85">
        <f>'FOB Data'!K97</f>
        <v>159</v>
      </c>
      <c r="O85">
        <f t="shared" si="25"/>
        <v>381.59999999999997</v>
      </c>
      <c r="P85">
        <f>'FOB Data'!L97</f>
        <v>2.4</v>
      </c>
      <c r="R85">
        <f>'FOB Data'!N97</f>
        <v>159</v>
      </c>
      <c r="S85">
        <f t="shared" si="14"/>
        <v>394.63800000000032</v>
      </c>
      <c r="T85">
        <f>'FOB Data'!O97</f>
        <v>2.482000000000002</v>
      </c>
      <c r="V85">
        <f>'FOB Data'!Q97</f>
        <v>159</v>
      </c>
      <c r="W85">
        <f t="shared" si="15"/>
        <v>286.2</v>
      </c>
      <c r="X85">
        <f>'FOB Data'!R97</f>
        <v>1.8</v>
      </c>
      <c r="Z85">
        <f t="shared" si="16"/>
        <v>159</v>
      </c>
      <c r="AA85">
        <f t="shared" si="17"/>
        <v>346.93800000000033</v>
      </c>
      <c r="AB85">
        <f>'FOB Data'!U97</f>
        <v>2.1820000000000022</v>
      </c>
      <c r="AD85">
        <f t="shared" si="18"/>
        <v>159</v>
      </c>
      <c r="AE85">
        <f t="shared" si="19"/>
        <v>445.2</v>
      </c>
      <c r="AF85">
        <f>'FOB Data'!X97</f>
        <v>2.8</v>
      </c>
      <c r="AH85">
        <f t="shared" si="20"/>
        <v>159</v>
      </c>
      <c r="AI85">
        <f t="shared" si="21"/>
        <v>465.55199999999996</v>
      </c>
      <c r="AJ85">
        <f>'FOB Data'!AA97</f>
        <v>2.9279999999999999</v>
      </c>
    </row>
    <row r="86" spans="2:36">
      <c r="B86">
        <f t="shared" si="26"/>
        <v>160</v>
      </c>
      <c r="C86">
        <f t="shared" si="22"/>
        <v>425.6</v>
      </c>
      <c r="D86">
        <f>'FOB Data'!C98</f>
        <v>2.66</v>
      </c>
      <c r="F86">
        <f t="shared" si="27"/>
        <v>160</v>
      </c>
      <c r="G86">
        <f t="shared" si="23"/>
        <v>412.80000000000035</v>
      </c>
      <c r="H86">
        <f>'FOB Data'!F98</f>
        <v>2.5800000000000023</v>
      </c>
      <c r="J86">
        <f>'FOB Data'!H98</f>
        <v>160</v>
      </c>
      <c r="K86">
        <f t="shared" si="24"/>
        <v>351.36000000000024</v>
      </c>
      <c r="L86">
        <f>'FOB Data'!I98</f>
        <v>2.1960000000000015</v>
      </c>
      <c r="N86">
        <f>'FOB Data'!K98</f>
        <v>160</v>
      </c>
      <c r="O86">
        <f t="shared" si="25"/>
        <v>384</v>
      </c>
      <c r="P86">
        <f>'FOB Data'!L98</f>
        <v>2.4</v>
      </c>
      <c r="R86">
        <f>'FOB Data'!N98</f>
        <v>160</v>
      </c>
      <c r="S86">
        <f t="shared" si="14"/>
        <v>396.80000000000035</v>
      </c>
      <c r="T86">
        <f>'FOB Data'!O98</f>
        <v>2.4800000000000022</v>
      </c>
      <c r="V86">
        <f>'FOB Data'!Q98</f>
        <v>160</v>
      </c>
      <c r="W86">
        <f t="shared" si="15"/>
        <v>288</v>
      </c>
      <c r="X86">
        <f>'FOB Data'!R98</f>
        <v>1.8</v>
      </c>
      <c r="Z86">
        <f t="shared" si="16"/>
        <v>160</v>
      </c>
      <c r="AA86">
        <f t="shared" si="17"/>
        <v>348.80000000000041</v>
      </c>
      <c r="AB86">
        <f>'FOB Data'!U98</f>
        <v>2.1800000000000024</v>
      </c>
      <c r="AD86">
        <f t="shared" si="18"/>
        <v>160</v>
      </c>
      <c r="AE86">
        <f t="shared" si="19"/>
        <v>448</v>
      </c>
      <c r="AF86">
        <f>'FOB Data'!X98</f>
        <v>2.8</v>
      </c>
      <c r="AH86">
        <f t="shared" si="20"/>
        <v>160</v>
      </c>
      <c r="AI86">
        <f t="shared" si="21"/>
        <v>467.2</v>
      </c>
      <c r="AJ86">
        <f>'FOB Data'!AA98</f>
        <v>2.92</v>
      </c>
    </row>
    <row r="87" spans="2:36">
      <c r="B87">
        <f t="shared" si="26"/>
        <v>161</v>
      </c>
      <c r="C87">
        <f t="shared" si="22"/>
        <v>427.61600000000004</v>
      </c>
      <c r="D87">
        <f>'FOB Data'!C99</f>
        <v>2.6560000000000001</v>
      </c>
      <c r="F87">
        <f t="shared" si="27"/>
        <v>161</v>
      </c>
      <c r="G87">
        <f t="shared" si="23"/>
        <v>415.05800000000039</v>
      </c>
      <c r="H87">
        <f>'FOB Data'!F99</f>
        <v>2.5780000000000025</v>
      </c>
      <c r="J87">
        <f>'FOB Data'!H99</f>
        <v>161</v>
      </c>
      <c r="K87">
        <f t="shared" si="24"/>
        <v>353.33060000000029</v>
      </c>
      <c r="L87">
        <f>'FOB Data'!I99</f>
        <v>2.1946000000000017</v>
      </c>
      <c r="N87">
        <f>'FOB Data'!K99</f>
        <v>161</v>
      </c>
      <c r="O87">
        <f t="shared" si="25"/>
        <v>386.4</v>
      </c>
      <c r="P87">
        <f>'FOB Data'!L99</f>
        <v>2.4</v>
      </c>
      <c r="R87">
        <f>'FOB Data'!N99</f>
        <v>161</v>
      </c>
      <c r="S87">
        <f t="shared" si="14"/>
        <v>398.95800000000037</v>
      </c>
      <c r="T87">
        <f>'FOB Data'!O99</f>
        <v>2.4780000000000024</v>
      </c>
      <c r="V87">
        <f>'FOB Data'!Q99</f>
        <v>161</v>
      </c>
      <c r="W87">
        <f t="shared" si="15"/>
        <v>289.8</v>
      </c>
      <c r="X87">
        <f>'FOB Data'!R99</f>
        <v>1.8</v>
      </c>
      <c r="Z87">
        <f t="shared" si="16"/>
        <v>161</v>
      </c>
      <c r="AA87">
        <f t="shared" si="17"/>
        <v>350.65800000000041</v>
      </c>
      <c r="AB87">
        <f>'FOB Data'!U99</f>
        <v>2.1780000000000026</v>
      </c>
      <c r="AD87">
        <f t="shared" si="18"/>
        <v>161</v>
      </c>
      <c r="AE87">
        <f t="shared" si="19"/>
        <v>450.79999999999995</v>
      </c>
      <c r="AF87">
        <f>'FOB Data'!X99</f>
        <v>2.8</v>
      </c>
      <c r="AH87">
        <f t="shared" si="20"/>
        <v>161</v>
      </c>
      <c r="AI87">
        <f t="shared" si="21"/>
        <v>468.83199999999999</v>
      </c>
      <c r="AJ87">
        <f>'FOB Data'!AA99</f>
        <v>2.9119999999999999</v>
      </c>
    </row>
    <row r="88" spans="2:36">
      <c r="B88">
        <f t="shared" si="26"/>
        <v>162</v>
      </c>
      <c r="C88">
        <f t="shared" si="22"/>
        <v>429.62400000000002</v>
      </c>
      <c r="D88">
        <f>'FOB Data'!C100</f>
        <v>2.6520000000000001</v>
      </c>
      <c r="F88">
        <f t="shared" si="27"/>
        <v>162</v>
      </c>
      <c r="G88">
        <f t="shared" si="23"/>
        <v>417.31200000000047</v>
      </c>
      <c r="H88">
        <f>'FOB Data'!F100</f>
        <v>2.5760000000000027</v>
      </c>
      <c r="J88">
        <f>'FOB Data'!H100</f>
        <v>162</v>
      </c>
      <c r="K88">
        <f t="shared" si="24"/>
        <v>355.2984000000003</v>
      </c>
      <c r="L88">
        <f>'FOB Data'!I100</f>
        <v>2.1932000000000018</v>
      </c>
      <c r="N88">
        <f>'FOB Data'!K100</f>
        <v>162</v>
      </c>
      <c r="O88">
        <f t="shared" si="25"/>
        <v>388.8</v>
      </c>
      <c r="P88">
        <f>'FOB Data'!L100</f>
        <v>2.4</v>
      </c>
      <c r="R88">
        <f>'FOB Data'!N100</f>
        <v>162</v>
      </c>
      <c r="S88">
        <f t="shared" si="14"/>
        <v>401.11200000000042</v>
      </c>
      <c r="T88">
        <f>'FOB Data'!O100</f>
        <v>2.4760000000000026</v>
      </c>
      <c r="V88">
        <f>'FOB Data'!Q100</f>
        <v>162</v>
      </c>
      <c r="W88">
        <f t="shared" si="15"/>
        <v>291.60000000000002</v>
      </c>
      <c r="X88">
        <f>'FOB Data'!R100</f>
        <v>1.8</v>
      </c>
      <c r="Z88">
        <f t="shared" si="16"/>
        <v>162</v>
      </c>
      <c r="AA88">
        <f t="shared" si="17"/>
        <v>352.51200000000046</v>
      </c>
      <c r="AB88">
        <f>'FOB Data'!U100</f>
        <v>2.1760000000000028</v>
      </c>
      <c r="AD88">
        <f t="shared" si="18"/>
        <v>162</v>
      </c>
      <c r="AE88">
        <f t="shared" si="19"/>
        <v>453.59999999999997</v>
      </c>
      <c r="AF88">
        <f>'FOB Data'!X100</f>
        <v>2.8</v>
      </c>
      <c r="AH88">
        <f t="shared" si="20"/>
        <v>162</v>
      </c>
      <c r="AI88">
        <f t="shared" si="21"/>
        <v>470.44799999999998</v>
      </c>
      <c r="AJ88">
        <f>'FOB Data'!AA100</f>
        <v>2.9039999999999999</v>
      </c>
    </row>
    <row r="89" spans="2:36">
      <c r="B89">
        <f t="shared" si="26"/>
        <v>163</v>
      </c>
      <c r="C89">
        <f t="shared" si="22"/>
        <v>431.62400000000002</v>
      </c>
      <c r="D89">
        <f>'FOB Data'!C101</f>
        <v>2.6480000000000001</v>
      </c>
      <c r="F89">
        <f t="shared" si="27"/>
        <v>163</v>
      </c>
      <c r="G89">
        <f t="shared" si="23"/>
        <v>419.56200000000047</v>
      </c>
      <c r="H89">
        <f>'FOB Data'!F101</f>
        <v>2.574000000000003</v>
      </c>
      <c r="J89">
        <f>'FOB Data'!H101</f>
        <v>163</v>
      </c>
      <c r="K89">
        <f t="shared" si="24"/>
        <v>357.26340000000033</v>
      </c>
      <c r="L89">
        <f>'FOB Data'!I101</f>
        <v>2.191800000000002</v>
      </c>
      <c r="N89">
        <f>'FOB Data'!K101</f>
        <v>163</v>
      </c>
      <c r="O89">
        <f t="shared" si="25"/>
        <v>391.2</v>
      </c>
      <c r="P89">
        <f>'FOB Data'!L101</f>
        <v>2.4</v>
      </c>
      <c r="R89">
        <f>'FOB Data'!N101</f>
        <v>163</v>
      </c>
      <c r="S89">
        <f t="shared" si="14"/>
        <v>403.26200000000046</v>
      </c>
      <c r="T89">
        <f>'FOB Data'!O101</f>
        <v>2.4740000000000029</v>
      </c>
      <c r="V89">
        <f>'FOB Data'!Q101</f>
        <v>163</v>
      </c>
      <c r="W89">
        <f t="shared" si="15"/>
        <v>293.40000000000003</v>
      </c>
      <c r="X89">
        <f>'FOB Data'!R101</f>
        <v>1.8</v>
      </c>
      <c r="Z89">
        <f t="shared" si="16"/>
        <v>163</v>
      </c>
      <c r="AA89">
        <f t="shared" si="17"/>
        <v>354.36200000000048</v>
      </c>
      <c r="AB89">
        <f>'FOB Data'!U101</f>
        <v>2.174000000000003</v>
      </c>
      <c r="AD89">
        <f t="shared" si="18"/>
        <v>163</v>
      </c>
      <c r="AE89">
        <f t="shared" si="19"/>
        <v>456.4</v>
      </c>
      <c r="AF89">
        <f>'FOB Data'!X101</f>
        <v>2.8</v>
      </c>
      <c r="AH89">
        <f t="shared" si="20"/>
        <v>163</v>
      </c>
      <c r="AI89">
        <f t="shared" si="21"/>
        <v>472.048</v>
      </c>
      <c r="AJ89">
        <f>'FOB Data'!AA101</f>
        <v>2.8959999999999999</v>
      </c>
    </row>
    <row r="90" spans="2:36">
      <c r="B90">
        <f t="shared" si="26"/>
        <v>164</v>
      </c>
      <c r="C90">
        <f t="shared" si="22"/>
        <v>433.61600000000004</v>
      </c>
      <c r="D90">
        <f>'FOB Data'!C102</f>
        <v>2.6440000000000001</v>
      </c>
      <c r="F90">
        <f t="shared" si="27"/>
        <v>164</v>
      </c>
      <c r="G90">
        <f t="shared" si="23"/>
        <v>421.8080000000005</v>
      </c>
      <c r="H90">
        <f>'FOB Data'!F102</f>
        <v>2.5720000000000032</v>
      </c>
      <c r="J90">
        <f>'FOB Data'!H102</f>
        <v>164</v>
      </c>
      <c r="K90">
        <f t="shared" si="24"/>
        <v>359.22560000000033</v>
      </c>
      <c r="L90">
        <f>'FOB Data'!I102</f>
        <v>2.1904000000000021</v>
      </c>
      <c r="N90">
        <f>'FOB Data'!K102</f>
        <v>164</v>
      </c>
      <c r="O90">
        <f t="shared" si="25"/>
        <v>393.59999999999997</v>
      </c>
      <c r="P90">
        <f>'FOB Data'!L102</f>
        <v>2.4</v>
      </c>
      <c r="R90">
        <f>'FOB Data'!N102</f>
        <v>164</v>
      </c>
      <c r="S90">
        <f t="shared" si="14"/>
        <v>405.40800000000053</v>
      </c>
      <c r="T90">
        <f>'FOB Data'!O102</f>
        <v>2.4720000000000031</v>
      </c>
      <c r="V90">
        <f>'FOB Data'!Q102</f>
        <v>164</v>
      </c>
      <c r="W90">
        <f t="shared" si="15"/>
        <v>295.2</v>
      </c>
      <c r="X90">
        <f>'FOB Data'!R102</f>
        <v>1.8</v>
      </c>
      <c r="Z90">
        <f t="shared" si="16"/>
        <v>164</v>
      </c>
      <c r="AA90">
        <f t="shared" si="17"/>
        <v>356.20800000000054</v>
      </c>
      <c r="AB90">
        <f>'FOB Data'!U102</f>
        <v>2.1720000000000033</v>
      </c>
      <c r="AD90">
        <f t="shared" si="18"/>
        <v>164</v>
      </c>
      <c r="AE90">
        <f t="shared" si="19"/>
        <v>459.2</v>
      </c>
      <c r="AF90">
        <f>'FOB Data'!X102</f>
        <v>2.8</v>
      </c>
      <c r="AH90">
        <f t="shared" si="20"/>
        <v>164</v>
      </c>
      <c r="AI90">
        <f t="shared" si="21"/>
        <v>473.63200000000001</v>
      </c>
      <c r="AJ90">
        <f>'FOB Data'!AA102</f>
        <v>2.8879999999999999</v>
      </c>
    </row>
    <row r="91" spans="2:36">
      <c r="B91">
        <f t="shared" si="26"/>
        <v>165</v>
      </c>
      <c r="C91">
        <f t="shared" si="22"/>
        <v>435.6</v>
      </c>
      <c r="D91">
        <f>'FOB Data'!C103</f>
        <v>2.64</v>
      </c>
      <c r="F91">
        <f t="shared" si="27"/>
        <v>165</v>
      </c>
      <c r="G91">
        <f t="shared" si="23"/>
        <v>424.05000000000058</v>
      </c>
      <c r="H91">
        <f>'FOB Data'!F103</f>
        <v>2.5700000000000034</v>
      </c>
      <c r="J91">
        <f>'FOB Data'!H103</f>
        <v>165</v>
      </c>
      <c r="K91">
        <f t="shared" si="24"/>
        <v>361.1850000000004</v>
      </c>
      <c r="L91">
        <f>'FOB Data'!I103</f>
        <v>2.1890000000000023</v>
      </c>
      <c r="N91">
        <f>'FOB Data'!K103</f>
        <v>165</v>
      </c>
      <c r="O91">
        <f t="shared" si="25"/>
        <v>396</v>
      </c>
      <c r="P91">
        <f>'FOB Data'!L103</f>
        <v>2.4</v>
      </c>
      <c r="R91">
        <f>'FOB Data'!N103</f>
        <v>165</v>
      </c>
      <c r="S91">
        <f t="shared" si="14"/>
        <v>407.55000000000052</v>
      </c>
      <c r="T91">
        <f>'FOB Data'!O103</f>
        <v>2.4700000000000033</v>
      </c>
      <c r="V91">
        <f>'FOB Data'!Q103</f>
        <v>165</v>
      </c>
      <c r="W91">
        <f t="shared" si="15"/>
        <v>297</v>
      </c>
      <c r="X91">
        <f>'FOB Data'!R103</f>
        <v>1.8</v>
      </c>
      <c r="Z91">
        <f t="shared" si="16"/>
        <v>165</v>
      </c>
      <c r="AA91">
        <f t="shared" si="17"/>
        <v>358.05000000000058</v>
      </c>
      <c r="AB91">
        <f>'FOB Data'!U103</f>
        <v>2.1700000000000035</v>
      </c>
      <c r="AD91">
        <f t="shared" si="18"/>
        <v>165</v>
      </c>
      <c r="AE91">
        <f t="shared" si="19"/>
        <v>461.99999999999994</v>
      </c>
      <c r="AF91">
        <f>'FOB Data'!X103</f>
        <v>2.8</v>
      </c>
      <c r="AH91">
        <f t="shared" si="20"/>
        <v>165</v>
      </c>
      <c r="AI91">
        <f t="shared" si="21"/>
        <v>475.2</v>
      </c>
      <c r="AJ91">
        <f>'FOB Data'!AA103</f>
        <v>2.88</v>
      </c>
    </row>
    <row r="92" spans="2:36">
      <c r="B92">
        <f t="shared" si="26"/>
        <v>166</v>
      </c>
      <c r="C92">
        <f t="shared" si="22"/>
        <v>437.57600000000002</v>
      </c>
      <c r="D92">
        <f>'FOB Data'!C104</f>
        <v>2.6360000000000001</v>
      </c>
      <c r="F92">
        <f t="shared" si="27"/>
        <v>166</v>
      </c>
      <c r="G92">
        <f t="shared" si="23"/>
        <v>426.28800000000058</v>
      </c>
      <c r="H92">
        <f>'FOB Data'!F104</f>
        <v>2.5680000000000036</v>
      </c>
      <c r="J92">
        <f>'FOB Data'!H104</f>
        <v>166</v>
      </c>
      <c r="K92">
        <f t="shared" si="24"/>
        <v>363.14160000000038</v>
      </c>
      <c r="L92">
        <f>'FOB Data'!I104</f>
        <v>2.1876000000000024</v>
      </c>
      <c r="N92">
        <f>'FOB Data'!K104</f>
        <v>166</v>
      </c>
      <c r="O92">
        <f t="shared" si="25"/>
        <v>398.4</v>
      </c>
      <c r="P92">
        <f>'FOB Data'!L104</f>
        <v>2.4</v>
      </c>
      <c r="R92">
        <f>'FOB Data'!N104</f>
        <v>166</v>
      </c>
      <c r="S92">
        <f t="shared" si="14"/>
        <v>409.68800000000056</v>
      </c>
      <c r="T92">
        <f>'FOB Data'!O104</f>
        <v>2.4680000000000035</v>
      </c>
      <c r="V92">
        <f>'FOB Data'!Q104</f>
        <v>166</v>
      </c>
      <c r="W92">
        <f t="shared" si="15"/>
        <v>298.8</v>
      </c>
      <c r="X92">
        <f>'FOB Data'!R104</f>
        <v>1.8</v>
      </c>
      <c r="Z92">
        <f t="shared" si="16"/>
        <v>166</v>
      </c>
      <c r="AA92">
        <f t="shared" si="17"/>
        <v>359.8880000000006</v>
      </c>
      <c r="AB92">
        <f>'FOB Data'!U104</f>
        <v>2.1680000000000037</v>
      </c>
      <c r="AD92">
        <f t="shared" si="18"/>
        <v>166</v>
      </c>
      <c r="AE92">
        <f t="shared" si="19"/>
        <v>464.79999999999995</v>
      </c>
      <c r="AF92">
        <f>'FOB Data'!X104</f>
        <v>2.8</v>
      </c>
      <c r="AH92">
        <f t="shared" si="20"/>
        <v>166</v>
      </c>
      <c r="AI92">
        <f t="shared" si="21"/>
        <v>476.75199999999995</v>
      </c>
      <c r="AJ92">
        <f>'FOB Data'!AA104</f>
        <v>2.8719999999999999</v>
      </c>
    </row>
    <row r="93" spans="2:36">
      <c r="B93">
        <f t="shared" si="26"/>
        <v>167</v>
      </c>
      <c r="C93">
        <f t="shared" si="22"/>
        <v>439.54400000000004</v>
      </c>
      <c r="D93">
        <f>'FOB Data'!C105</f>
        <v>2.6320000000000001</v>
      </c>
      <c r="F93">
        <f t="shared" si="27"/>
        <v>167</v>
      </c>
      <c r="G93">
        <f t="shared" si="23"/>
        <v>428.52200000000062</v>
      </c>
      <c r="H93">
        <f>'FOB Data'!F105</f>
        <v>2.5660000000000038</v>
      </c>
      <c r="J93">
        <f>'FOB Data'!H105</f>
        <v>167</v>
      </c>
      <c r="K93">
        <f t="shared" si="24"/>
        <v>365.09540000000044</v>
      </c>
      <c r="L93">
        <f>'FOB Data'!I105</f>
        <v>2.1862000000000026</v>
      </c>
      <c r="N93">
        <f>'FOB Data'!K105</f>
        <v>167</v>
      </c>
      <c r="O93">
        <f t="shared" si="25"/>
        <v>400.8</v>
      </c>
      <c r="P93">
        <f>'FOB Data'!L105</f>
        <v>2.4</v>
      </c>
      <c r="R93">
        <f>'FOB Data'!N105</f>
        <v>167</v>
      </c>
      <c r="S93">
        <f t="shared" si="14"/>
        <v>411.82200000000063</v>
      </c>
      <c r="T93">
        <f>'FOB Data'!O105</f>
        <v>2.4660000000000037</v>
      </c>
      <c r="V93">
        <f>'FOB Data'!Q105</f>
        <v>167</v>
      </c>
      <c r="W93">
        <f t="shared" si="15"/>
        <v>300.60000000000002</v>
      </c>
      <c r="X93">
        <f>'FOB Data'!R105</f>
        <v>1.8</v>
      </c>
      <c r="Z93">
        <f t="shared" si="16"/>
        <v>167</v>
      </c>
      <c r="AA93">
        <f t="shared" si="17"/>
        <v>361.72200000000066</v>
      </c>
      <c r="AB93">
        <f>'FOB Data'!U105</f>
        <v>2.1660000000000039</v>
      </c>
      <c r="AD93">
        <f t="shared" si="18"/>
        <v>167</v>
      </c>
      <c r="AE93">
        <f t="shared" si="19"/>
        <v>467.59999999999997</v>
      </c>
      <c r="AF93">
        <f>'FOB Data'!X105</f>
        <v>2.8</v>
      </c>
      <c r="AH93">
        <f t="shared" si="20"/>
        <v>167</v>
      </c>
      <c r="AI93">
        <f t="shared" si="21"/>
        <v>478.28799999999995</v>
      </c>
      <c r="AJ93">
        <f>'FOB Data'!AA105</f>
        <v>2.8639999999999999</v>
      </c>
    </row>
    <row r="94" spans="2:36">
      <c r="B94">
        <f t="shared" si="26"/>
        <v>168</v>
      </c>
      <c r="C94">
        <f t="shared" si="22"/>
        <v>441.50400000000002</v>
      </c>
      <c r="D94">
        <f>'FOB Data'!C106</f>
        <v>2.6280000000000001</v>
      </c>
      <c r="F94">
        <f t="shared" si="27"/>
        <v>168</v>
      </c>
      <c r="G94">
        <f t="shared" si="23"/>
        <v>430.75200000000069</v>
      </c>
      <c r="H94">
        <f>'FOB Data'!F106</f>
        <v>2.5640000000000041</v>
      </c>
      <c r="J94">
        <f>'FOB Data'!H106</f>
        <v>168</v>
      </c>
      <c r="K94">
        <f t="shared" si="24"/>
        <v>367.04640000000046</v>
      </c>
      <c r="L94">
        <f>'FOB Data'!I106</f>
        <v>2.1848000000000027</v>
      </c>
      <c r="N94">
        <f>'FOB Data'!K106</f>
        <v>168</v>
      </c>
      <c r="O94">
        <f t="shared" si="25"/>
        <v>403.2</v>
      </c>
      <c r="P94">
        <f>'FOB Data'!L106</f>
        <v>2.4</v>
      </c>
      <c r="R94">
        <f>'FOB Data'!N106</f>
        <v>168</v>
      </c>
      <c r="S94">
        <f t="shared" si="14"/>
        <v>413.95200000000068</v>
      </c>
      <c r="T94">
        <f>'FOB Data'!O106</f>
        <v>2.464000000000004</v>
      </c>
      <c r="V94">
        <f>'FOB Data'!Q106</f>
        <v>168</v>
      </c>
      <c r="W94">
        <f t="shared" si="15"/>
        <v>302.40000000000003</v>
      </c>
      <c r="X94">
        <f>'FOB Data'!R106</f>
        <v>1.8</v>
      </c>
      <c r="Z94">
        <f t="shared" si="16"/>
        <v>168</v>
      </c>
      <c r="AA94">
        <f t="shared" si="17"/>
        <v>363.5520000000007</v>
      </c>
      <c r="AB94">
        <f>'FOB Data'!U106</f>
        <v>2.1640000000000041</v>
      </c>
      <c r="AD94">
        <f t="shared" si="18"/>
        <v>168</v>
      </c>
      <c r="AE94">
        <f t="shared" si="19"/>
        <v>470.4</v>
      </c>
      <c r="AF94">
        <f>'FOB Data'!X106</f>
        <v>2.8</v>
      </c>
      <c r="AH94">
        <f t="shared" si="20"/>
        <v>168</v>
      </c>
      <c r="AI94">
        <f t="shared" si="21"/>
        <v>479.80799999999999</v>
      </c>
      <c r="AJ94">
        <f>'FOB Data'!AA106</f>
        <v>2.8559999999999999</v>
      </c>
    </row>
    <row r="95" spans="2:36">
      <c r="B95">
        <f t="shared" si="26"/>
        <v>169</v>
      </c>
      <c r="C95">
        <f t="shared" si="22"/>
        <v>443.45600000000002</v>
      </c>
      <c r="D95">
        <f>'FOB Data'!C107</f>
        <v>2.6240000000000001</v>
      </c>
      <c r="F95">
        <f t="shared" si="27"/>
        <v>169</v>
      </c>
      <c r="G95">
        <f t="shared" si="23"/>
        <v>432.97800000000075</v>
      </c>
      <c r="H95">
        <f>'FOB Data'!F107</f>
        <v>2.5620000000000043</v>
      </c>
      <c r="J95">
        <f>'FOB Data'!H107</f>
        <v>169</v>
      </c>
      <c r="K95">
        <f t="shared" si="24"/>
        <v>368.9946000000005</v>
      </c>
      <c r="L95">
        <f>'FOB Data'!I107</f>
        <v>2.1834000000000029</v>
      </c>
      <c r="N95">
        <f>'FOB Data'!K107</f>
        <v>169</v>
      </c>
      <c r="O95">
        <f t="shared" si="25"/>
        <v>405.59999999999997</v>
      </c>
      <c r="P95">
        <f>'FOB Data'!L107</f>
        <v>2.4</v>
      </c>
      <c r="R95">
        <f>'FOB Data'!N107</f>
        <v>169</v>
      </c>
      <c r="S95">
        <f t="shared" si="14"/>
        <v>416.07800000000071</v>
      </c>
      <c r="T95">
        <f>'FOB Data'!O107</f>
        <v>2.4620000000000042</v>
      </c>
      <c r="V95">
        <f>'FOB Data'!Q107</f>
        <v>169</v>
      </c>
      <c r="W95">
        <f t="shared" si="15"/>
        <v>304.2</v>
      </c>
      <c r="X95">
        <f>'FOB Data'!R107</f>
        <v>1.8</v>
      </c>
      <c r="Z95">
        <f t="shared" si="16"/>
        <v>169</v>
      </c>
      <c r="AA95">
        <f t="shared" si="17"/>
        <v>365.37800000000072</v>
      </c>
      <c r="AB95">
        <f>'FOB Data'!U107</f>
        <v>2.1620000000000044</v>
      </c>
      <c r="AD95">
        <f t="shared" si="18"/>
        <v>169</v>
      </c>
      <c r="AE95">
        <f t="shared" si="19"/>
        <v>473.2</v>
      </c>
      <c r="AF95">
        <f>'FOB Data'!X107</f>
        <v>2.8</v>
      </c>
      <c r="AH95">
        <f t="shared" si="20"/>
        <v>169</v>
      </c>
      <c r="AI95">
        <f t="shared" si="21"/>
        <v>481.31199999999995</v>
      </c>
      <c r="AJ95">
        <f>'FOB Data'!AA107</f>
        <v>2.8479999999999999</v>
      </c>
    </row>
    <row r="96" spans="2:36">
      <c r="B96">
        <f t="shared" si="26"/>
        <v>170</v>
      </c>
      <c r="C96">
        <f t="shared" si="22"/>
        <v>445.40000000000003</v>
      </c>
      <c r="D96">
        <f>'FOB Data'!C108</f>
        <v>2.62</v>
      </c>
      <c r="F96">
        <f t="shared" si="27"/>
        <v>170</v>
      </c>
      <c r="G96">
        <f t="shared" si="23"/>
        <v>435.20000000000078</v>
      </c>
      <c r="H96">
        <f>'FOB Data'!F108</f>
        <v>2.5600000000000045</v>
      </c>
      <c r="J96">
        <f>'FOB Data'!H108</f>
        <v>170</v>
      </c>
      <c r="K96">
        <f t="shared" si="24"/>
        <v>370.94000000000051</v>
      </c>
      <c r="L96">
        <f>'FOB Data'!I108</f>
        <v>2.182000000000003</v>
      </c>
      <c r="N96">
        <f>'FOB Data'!K108</f>
        <v>170</v>
      </c>
      <c r="O96">
        <f t="shared" si="25"/>
        <v>408</v>
      </c>
      <c r="P96">
        <f>'FOB Data'!L108</f>
        <v>2.4</v>
      </c>
      <c r="R96">
        <f>'FOB Data'!N108</f>
        <v>170</v>
      </c>
      <c r="S96">
        <f t="shared" si="14"/>
        <v>418.20000000000073</v>
      </c>
      <c r="T96">
        <f>'FOB Data'!O108</f>
        <v>2.4600000000000044</v>
      </c>
      <c r="V96">
        <f>'FOB Data'!Q108</f>
        <v>170</v>
      </c>
      <c r="W96">
        <f t="shared" si="15"/>
        <v>306</v>
      </c>
      <c r="X96">
        <f>'FOB Data'!R108</f>
        <v>1.8</v>
      </c>
      <c r="Z96">
        <f t="shared" si="16"/>
        <v>170</v>
      </c>
      <c r="AA96">
        <f t="shared" si="17"/>
        <v>367.20000000000078</v>
      </c>
      <c r="AB96">
        <f>'FOB Data'!U108</f>
        <v>2.1600000000000046</v>
      </c>
      <c r="AD96">
        <f t="shared" si="18"/>
        <v>170</v>
      </c>
      <c r="AE96">
        <f t="shared" si="19"/>
        <v>475.99999999999994</v>
      </c>
      <c r="AF96">
        <f>'FOB Data'!X108</f>
        <v>2.8</v>
      </c>
      <c r="AH96">
        <f t="shared" si="20"/>
        <v>170</v>
      </c>
      <c r="AI96">
        <f t="shared" si="21"/>
        <v>482.79999999999995</v>
      </c>
      <c r="AJ96">
        <f>'FOB Data'!AA108</f>
        <v>2.84</v>
      </c>
    </row>
    <row r="97" spans="2:36">
      <c r="B97">
        <f t="shared" si="26"/>
        <v>171</v>
      </c>
      <c r="C97">
        <f t="shared" si="22"/>
        <v>447.33600000000001</v>
      </c>
      <c r="D97">
        <f>'FOB Data'!C109</f>
        <v>2.6160000000000001</v>
      </c>
      <c r="F97">
        <f t="shared" si="27"/>
        <v>171</v>
      </c>
      <c r="G97">
        <f t="shared" si="23"/>
        <v>437.4180000000008</v>
      </c>
      <c r="H97">
        <f>'FOB Data'!F109</f>
        <v>2.5580000000000047</v>
      </c>
      <c r="J97">
        <f>'FOB Data'!H109</f>
        <v>171</v>
      </c>
      <c r="K97">
        <f t="shared" si="24"/>
        <v>372.88260000000054</v>
      </c>
      <c r="L97">
        <f>'FOB Data'!I109</f>
        <v>2.1806000000000032</v>
      </c>
      <c r="N97">
        <f>'FOB Data'!K109</f>
        <v>171</v>
      </c>
      <c r="O97">
        <f t="shared" si="25"/>
        <v>410.4</v>
      </c>
      <c r="P97">
        <f>'FOB Data'!L109</f>
        <v>2.4</v>
      </c>
      <c r="R97">
        <f>'FOB Data'!N109</f>
        <v>171</v>
      </c>
      <c r="S97">
        <f t="shared" si="14"/>
        <v>420.31800000000078</v>
      </c>
      <c r="T97">
        <f>'FOB Data'!O109</f>
        <v>2.4580000000000046</v>
      </c>
      <c r="V97">
        <f>'FOB Data'!Q109</f>
        <v>171</v>
      </c>
      <c r="W97">
        <f t="shared" si="15"/>
        <v>307.8</v>
      </c>
      <c r="X97">
        <f>'FOB Data'!R109</f>
        <v>1.8</v>
      </c>
      <c r="Z97">
        <f t="shared" si="16"/>
        <v>171</v>
      </c>
      <c r="AA97">
        <f t="shared" si="17"/>
        <v>369.01800000000082</v>
      </c>
      <c r="AB97">
        <f>'FOB Data'!U109</f>
        <v>2.1580000000000048</v>
      </c>
      <c r="AD97">
        <f t="shared" si="18"/>
        <v>171</v>
      </c>
      <c r="AE97">
        <f t="shared" si="19"/>
        <v>478.79999999999995</v>
      </c>
      <c r="AF97">
        <f>'FOB Data'!X109</f>
        <v>2.8</v>
      </c>
      <c r="AH97">
        <f t="shared" si="20"/>
        <v>171</v>
      </c>
      <c r="AI97">
        <f t="shared" si="21"/>
        <v>484.27199999999999</v>
      </c>
      <c r="AJ97">
        <f>'FOB Data'!AA109</f>
        <v>2.8319999999999999</v>
      </c>
    </row>
    <row r="98" spans="2:36">
      <c r="B98">
        <f t="shared" si="26"/>
        <v>172</v>
      </c>
      <c r="C98">
        <f t="shared" si="22"/>
        <v>449.26400000000001</v>
      </c>
      <c r="D98">
        <f>'FOB Data'!C110</f>
        <v>2.6120000000000001</v>
      </c>
      <c r="F98">
        <f t="shared" si="27"/>
        <v>172</v>
      </c>
      <c r="G98">
        <f t="shared" si="23"/>
        <v>439.63200000000086</v>
      </c>
      <c r="H98">
        <f>'FOB Data'!F110</f>
        <v>2.5560000000000049</v>
      </c>
      <c r="J98">
        <f>'FOB Data'!H110</f>
        <v>172</v>
      </c>
      <c r="K98">
        <f t="shared" si="24"/>
        <v>374.82240000000058</v>
      </c>
      <c r="L98">
        <f>'FOB Data'!I110</f>
        <v>2.1792000000000034</v>
      </c>
      <c r="N98">
        <f>'FOB Data'!K110</f>
        <v>172</v>
      </c>
      <c r="O98">
        <f t="shared" si="25"/>
        <v>412.8</v>
      </c>
      <c r="P98">
        <f>'FOB Data'!L110</f>
        <v>2.4</v>
      </c>
      <c r="R98">
        <f>'FOB Data'!N110</f>
        <v>172</v>
      </c>
      <c r="S98">
        <f t="shared" si="14"/>
        <v>422.43200000000081</v>
      </c>
      <c r="T98">
        <f>'FOB Data'!O110</f>
        <v>2.4560000000000048</v>
      </c>
      <c r="V98">
        <f>'FOB Data'!Q110</f>
        <v>172</v>
      </c>
      <c r="W98">
        <f t="shared" si="15"/>
        <v>309.60000000000002</v>
      </c>
      <c r="X98">
        <f>'FOB Data'!R110</f>
        <v>1.8</v>
      </c>
      <c r="Z98">
        <f t="shared" si="16"/>
        <v>172</v>
      </c>
      <c r="AA98">
        <f t="shared" si="17"/>
        <v>370.83200000000085</v>
      </c>
      <c r="AB98">
        <f>'FOB Data'!U110</f>
        <v>2.156000000000005</v>
      </c>
      <c r="AD98">
        <f t="shared" si="18"/>
        <v>172</v>
      </c>
      <c r="AE98">
        <f t="shared" si="19"/>
        <v>481.59999999999997</v>
      </c>
      <c r="AF98">
        <f>'FOB Data'!X110</f>
        <v>2.8</v>
      </c>
      <c r="AH98">
        <f t="shared" si="20"/>
        <v>172</v>
      </c>
      <c r="AI98">
        <f t="shared" si="21"/>
        <v>485.72799999999995</v>
      </c>
      <c r="AJ98">
        <f>'FOB Data'!AA110</f>
        <v>2.8239999999999998</v>
      </c>
    </row>
    <row r="99" spans="2:36">
      <c r="B99">
        <f t="shared" si="26"/>
        <v>173</v>
      </c>
      <c r="C99">
        <f t="shared" si="22"/>
        <v>451.18400000000003</v>
      </c>
      <c r="D99">
        <f>'FOB Data'!C111</f>
        <v>2.6080000000000001</v>
      </c>
      <c r="F99">
        <f t="shared" si="27"/>
        <v>173</v>
      </c>
      <c r="G99">
        <f t="shared" si="23"/>
        <v>441.84200000000089</v>
      </c>
      <c r="H99">
        <f>'FOB Data'!F111</f>
        <v>2.5540000000000052</v>
      </c>
      <c r="J99">
        <f>'FOB Data'!H111</f>
        <v>173</v>
      </c>
      <c r="K99">
        <f t="shared" si="24"/>
        <v>376.7594000000006</v>
      </c>
      <c r="L99">
        <f>'FOB Data'!I111</f>
        <v>2.1778000000000035</v>
      </c>
      <c r="N99">
        <f>'FOB Data'!K111</f>
        <v>173</v>
      </c>
      <c r="O99">
        <f t="shared" si="25"/>
        <v>415.2</v>
      </c>
      <c r="P99">
        <f>'FOB Data'!L111</f>
        <v>2.4</v>
      </c>
      <c r="R99">
        <f>'FOB Data'!N111</f>
        <v>173</v>
      </c>
      <c r="S99">
        <f t="shared" si="14"/>
        <v>424.54200000000088</v>
      </c>
      <c r="T99">
        <f>'FOB Data'!O111</f>
        <v>2.4540000000000051</v>
      </c>
      <c r="V99">
        <f>'FOB Data'!Q111</f>
        <v>173</v>
      </c>
      <c r="W99">
        <f t="shared" si="15"/>
        <v>311.40000000000003</v>
      </c>
      <c r="X99">
        <f>'FOB Data'!R111</f>
        <v>1.8</v>
      </c>
      <c r="Z99">
        <f t="shared" si="16"/>
        <v>173</v>
      </c>
      <c r="AA99">
        <f t="shared" si="17"/>
        <v>372.64200000000091</v>
      </c>
      <c r="AB99">
        <f>'FOB Data'!U111</f>
        <v>2.1540000000000052</v>
      </c>
      <c r="AD99">
        <f t="shared" si="18"/>
        <v>173</v>
      </c>
      <c r="AE99">
        <f t="shared" si="19"/>
        <v>484.4</v>
      </c>
      <c r="AF99">
        <f>'FOB Data'!X111</f>
        <v>2.8</v>
      </c>
      <c r="AH99">
        <f t="shared" si="20"/>
        <v>173</v>
      </c>
      <c r="AI99">
        <f t="shared" si="21"/>
        <v>487.16799999999995</v>
      </c>
      <c r="AJ99">
        <f>'FOB Data'!AA111</f>
        <v>2.8159999999999998</v>
      </c>
    </row>
    <row r="100" spans="2:36">
      <c r="B100">
        <f t="shared" si="26"/>
        <v>174</v>
      </c>
      <c r="C100">
        <f t="shared" si="22"/>
        <v>453.096</v>
      </c>
      <c r="D100">
        <f>'FOB Data'!C112</f>
        <v>2.6040000000000001</v>
      </c>
      <c r="F100">
        <f t="shared" si="27"/>
        <v>174</v>
      </c>
      <c r="G100">
        <f t="shared" si="23"/>
        <v>444.04800000000091</v>
      </c>
      <c r="H100">
        <f>'FOB Data'!F112</f>
        <v>2.5520000000000054</v>
      </c>
      <c r="J100">
        <f>'FOB Data'!H112</f>
        <v>174</v>
      </c>
      <c r="K100">
        <f t="shared" si="24"/>
        <v>378.69360000000063</v>
      </c>
      <c r="L100">
        <f>'FOB Data'!I112</f>
        <v>2.1764000000000037</v>
      </c>
      <c r="N100">
        <f>'FOB Data'!K112</f>
        <v>174</v>
      </c>
      <c r="O100">
        <f t="shared" si="25"/>
        <v>417.59999999999997</v>
      </c>
      <c r="P100">
        <f>'FOB Data'!L112</f>
        <v>2.4</v>
      </c>
      <c r="R100">
        <f>'FOB Data'!N112</f>
        <v>174</v>
      </c>
      <c r="S100">
        <f t="shared" si="14"/>
        <v>426.64800000000093</v>
      </c>
      <c r="T100">
        <f>'FOB Data'!O112</f>
        <v>2.4520000000000053</v>
      </c>
      <c r="V100">
        <f>'FOB Data'!Q112</f>
        <v>174</v>
      </c>
      <c r="W100">
        <f t="shared" si="15"/>
        <v>313.2</v>
      </c>
      <c r="X100">
        <f>'FOB Data'!R112</f>
        <v>1.8</v>
      </c>
      <c r="Z100">
        <f t="shared" si="16"/>
        <v>174</v>
      </c>
      <c r="AA100">
        <f t="shared" si="17"/>
        <v>374.44800000000095</v>
      </c>
      <c r="AB100">
        <f>'FOB Data'!U112</f>
        <v>2.1520000000000055</v>
      </c>
      <c r="AD100">
        <f t="shared" si="18"/>
        <v>174</v>
      </c>
      <c r="AE100">
        <f t="shared" si="19"/>
        <v>487.2</v>
      </c>
      <c r="AF100">
        <f>'FOB Data'!X112</f>
        <v>2.8</v>
      </c>
      <c r="AH100">
        <f t="shared" si="20"/>
        <v>174</v>
      </c>
      <c r="AI100">
        <f t="shared" si="21"/>
        <v>488.59199999999998</v>
      </c>
      <c r="AJ100">
        <f>'FOB Data'!AA112</f>
        <v>2.8079999999999998</v>
      </c>
    </row>
    <row r="101" spans="2:36">
      <c r="B101">
        <f t="shared" si="26"/>
        <v>175</v>
      </c>
      <c r="C101">
        <f t="shared" si="22"/>
        <v>455</v>
      </c>
      <c r="D101">
        <f>'FOB Data'!C113</f>
        <v>2.6</v>
      </c>
      <c r="F101">
        <f t="shared" si="27"/>
        <v>175</v>
      </c>
      <c r="G101">
        <f t="shared" si="23"/>
        <v>446.25000000000097</v>
      </c>
      <c r="H101">
        <f>'FOB Data'!F113</f>
        <v>2.5500000000000056</v>
      </c>
      <c r="J101">
        <f>'FOB Data'!H113</f>
        <v>175</v>
      </c>
      <c r="K101">
        <f t="shared" si="24"/>
        <v>380.62500000000068</v>
      </c>
      <c r="L101">
        <f>'FOB Data'!I113</f>
        <v>2.1750000000000038</v>
      </c>
      <c r="N101">
        <f>'FOB Data'!K113</f>
        <v>175</v>
      </c>
      <c r="O101">
        <f t="shared" si="25"/>
        <v>420</v>
      </c>
      <c r="P101">
        <f>'FOB Data'!L113</f>
        <v>2.4</v>
      </c>
      <c r="R101">
        <f>'FOB Data'!N113</f>
        <v>175</v>
      </c>
      <c r="S101">
        <f t="shared" si="14"/>
        <v>428.75000000000097</v>
      </c>
      <c r="T101">
        <f>'FOB Data'!O113</f>
        <v>2.4500000000000055</v>
      </c>
      <c r="V101">
        <f>'FOB Data'!Q113</f>
        <v>175</v>
      </c>
      <c r="W101">
        <f t="shared" si="15"/>
        <v>315</v>
      </c>
      <c r="X101">
        <f>'FOB Data'!R113</f>
        <v>1.8</v>
      </c>
      <c r="Z101">
        <f t="shared" si="16"/>
        <v>175</v>
      </c>
      <c r="AA101">
        <f t="shared" si="17"/>
        <v>376.25000000000102</v>
      </c>
      <c r="AB101">
        <f>'FOB Data'!U113</f>
        <v>2.1500000000000057</v>
      </c>
      <c r="AD101">
        <f t="shared" si="18"/>
        <v>175</v>
      </c>
      <c r="AE101">
        <f t="shared" si="19"/>
        <v>489.99999999999994</v>
      </c>
      <c r="AF101">
        <f>'FOB Data'!X113</f>
        <v>2.8</v>
      </c>
      <c r="AH101">
        <f t="shared" si="20"/>
        <v>175</v>
      </c>
      <c r="AI101">
        <f t="shared" si="21"/>
        <v>489.99999999999994</v>
      </c>
      <c r="AJ101">
        <f>'FOB Data'!AA113</f>
        <v>2.8</v>
      </c>
    </row>
    <row r="102" spans="2:36">
      <c r="B102">
        <f t="shared" si="26"/>
        <v>176</v>
      </c>
      <c r="C102">
        <f t="shared" si="22"/>
        <v>456.89600000000002</v>
      </c>
      <c r="D102">
        <f>'FOB Data'!C114</f>
        <v>2.5960000000000001</v>
      </c>
      <c r="F102">
        <f t="shared" si="27"/>
        <v>176</v>
      </c>
      <c r="G102">
        <f t="shared" si="23"/>
        <v>448.448000000001</v>
      </c>
      <c r="H102">
        <f>'FOB Data'!F114</f>
        <v>2.5480000000000058</v>
      </c>
      <c r="J102">
        <f>'FOB Data'!H114</f>
        <v>176</v>
      </c>
      <c r="K102">
        <f t="shared" si="24"/>
        <v>382.5536000000007</v>
      </c>
      <c r="L102">
        <f>'FOB Data'!I114</f>
        <v>2.173600000000004</v>
      </c>
      <c r="N102">
        <f>'FOB Data'!K114</f>
        <v>176</v>
      </c>
      <c r="O102">
        <f t="shared" si="25"/>
        <v>422.4</v>
      </c>
      <c r="P102">
        <f>'FOB Data'!L114</f>
        <v>2.4</v>
      </c>
      <c r="R102">
        <f>'FOB Data'!N114</f>
        <v>176</v>
      </c>
      <c r="S102">
        <f t="shared" si="14"/>
        <v>430.84800000000098</v>
      </c>
      <c r="T102">
        <f>'FOB Data'!O114</f>
        <v>2.4480000000000057</v>
      </c>
      <c r="V102">
        <f>'FOB Data'!Q114</f>
        <v>176</v>
      </c>
      <c r="W102">
        <f t="shared" si="15"/>
        <v>316.8</v>
      </c>
      <c r="X102">
        <f>'FOB Data'!R114</f>
        <v>1.8</v>
      </c>
      <c r="Z102">
        <f t="shared" si="16"/>
        <v>176</v>
      </c>
      <c r="AA102">
        <f t="shared" si="17"/>
        <v>378.04800000000103</v>
      </c>
      <c r="AB102">
        <f>'FOB Data'!U114</f>
        <v>2.1480000000000059</v>
      </c>
      <c r="AD102">
        <f t="shared" si="18"/>
        <v>176</v>
      </c>
      <c r="AE102">
        <f t="shared" si="19"/>
        <v>492.79999999999995</v>
      </c>
      <c r="AF102">
        <f>'FOB Data'!X114</f>
        <v>2.8</v>
      </c>
      <c r="AH102">
        <f t="shared" si="20"/>
        <v>176</v>
      </c>
      <c r="AI102">
        <f t="shared" si="21"/>
        <v>491.39199999999994</v>
      </c>
      <c r="AJ102">
        <f>'FOB Data'!AA114</f>
        <v>2.7919999999999998</v>
      </c>
    </row>
    <row r="103" spans="2:36">
      <c r="B103">
        <f t="shared" si="26"/>
        <v>177</v>
      </c>
      <c r="C103">
        <f t="shared" si="22"/>
        <v>458.78399999999999</v>
      </c>
      <c r="D103">
        <f>'FOB Data'!C115</f>
        <v>2.5920000000000001</v>
      </c>
      <c r="F103">
        <f t="shared" si="27"/>
        <v>177</v>
      </c>
      <c r="G103">
        <f t="shared" si="23"/>
        <v>450.64200000000108</v>
      </c>
      <c r="H103">
        <f>'FOB Data'!F115</f>
        <v>2.546000000000006</v>
      </c>
      <c r="J103">
        <f>'FOB Data'!H115</f>
        <v>177</v>
      </c>
      <c r="K103">
        <f t="shared" si="24"/>
        <v>384.47940000000074</v>
      </c>
      <c r="L103">
        <f>'FOB Data'!I115</f>
        <v>2.1722000000000041</v>
      </c>
      <c r="N103">
        <f>'FOB Data'!K115</f>
        <v>177</v>
      </c>
      <c r="O103">
        <f t="shared" si="25"/>
        <v>424.8</v>
      </c>
      <c r="P103">
        <f>'FOB Data'!L115</f>
        <v>2.4</v>
      </c>
      <c r="R103">
        <f>'FOB Data'!N115</f>
        <v>177</v>
      </c>
      <c r="S103">
        <f t="shared" si="14"/>
        <v>432.94200000000103</v>
      </c>
      <c r="T103">
        <f>'FOB Data'!O115</f>
        <v>2.4460000000000059</v>
      </c>
      <c r="V103">
        <f>'FOB Data'!Q115</f>
        <v>177</v>
      </c>
      <c r="W103">
        <f t="shared" si="15"/>
        <v>318.60000000000002</v>
      </c>
      <c r="X103">
        <f>'FOB Data'!R115</f>
        <v>1.8</v>
      </c>
      <c r="Z103">
        <f t="shared" si="16"/>
        <v>177</v>
      </c>
      <c r="AA103">
        <f t="shared" si="17"/>
        <v>379.84200000000106</v>
      </c>
      <c r="AB103">
        <f>'FOB Data'!U115</f>
        <v>2.1460000000000061</v>
      </c>
      <c r="AD103">
        <f t="shared" si="18"/>
        <v>177</v>
      </c>
      <c r="AE103">
        <f t="shared" si="19"/>
        <v>495.59999999999997</v>
      </c>
      <c r="AF103">
        <f>'FOB Data'!X115</f>
        <v>2.8</v>
      </c>
      <c r="AH103">
        <f t="shared" si="20"/>
        <v>177</v>
      </c>
      <c r="AI103">
        <f t="shared" si="21"/>
        <v>492.76799999999997</v>
      </c>
      <c r="AJ103">
        <f>'FOB Data'!AA115</f>
        <v>2.7839999999999998</v>
      </c>
    </row>
    <row r="104" spans="2:36">
      <c r="B104">
        <f t="shared" si="26"/>
        <v>178</v>
      </c>
      <c r="C104">
        <f t="shared" si="22"/>
        <v>460.66399999999999</v>
      </c>
      <c r="D104">
        <f>'FOB Data'!C116</f>
        <v>2.5880000000000001</v>
      </c>
      <c r="F104">
        <f t="shared" si="27"/>
        <v>178</v>
      </c>
      <c r="G104">
        <f t="shared" si="23"/>
        <v>452.83200000000113</v>
      </c>
      <c r="H104">
        <f>'FOB Data'!F116</f>
        <v>2.5440000000000063</v>
      </c>
      <c r="J104">
        <f>'FOB Data'!H116</f>
        <v>178</v>
      </c>
      <c r="K104">
        <f t="shared" si="24"/>
        <v>386.40240000000074</v>
      </c>
      <c r="L104">
        <f>'FOB Data'!I116</f>
        <v>2.1708000000000043</v>
      </c>
      <c r="N104">
        <f>'FOB Data'!K116</f>
        <v>178</v>
      </c>
      <c r="O104">
        <f t="shared" si="25"/>
        <v>427.2</v>
      </c>
      <c r="P104">
        <f>'FOB Data'!L116</f>
        <v>2.4</v>
      </c>
      <c r="R104">
        <f>'FOB Data'!N116</f>
        <v>178</v>
      </c>
      <c r="S104">
        <f t="shared" si="14"/>
        <v>435.03200000000112</v>
      </c>
      <c r="T104">
        <f>'FOB Data'!O116</f>
        <v>2.4440000000000062</v>
      </c>
      <c r="V104">
        <f>'FOB Data'!Q116</f>
        <v>178</v>
      </c>
      <c r="W104">
        <f t="shared" si="15"/>
        <v>320.40000000000003</v>
      </c>
      <c r="X104">
        <f>'FOB Data'!R116</f>
        <v>1.8</v>
      </c>
      <c r="Z104">
        <f t="shared" si="16"/>
        <v>178</v>
      </c>
      <c r="AA104">
        <f t="shared" si="17"/>
        <v>381.63200000000114</v>
      </c>
      <c r="AB104">
        <f>'FOB Data'!U116</f>
        <v>2.1440000000000063</v>
      </c>
      <c r="AD104">
        <f t="shared" si="18"/>
        <v>178</v>
      </c>
      <c r="AE104">
        <f t="shared" si="19"/>
        <v>498.4</v>
      </c>
      <c r="AF104">
        <f>'FOB Data'!X116</f>
        <v>2.8</v>
      </c>
      <c r="AH104">
        <f t="shared" si="20"/>
        <v>178</v>
      </c>
      <c r="AI104">
        <f t="shared" si="21"/>
        <v>494.12799999999999</v>
      </c>
      <c r="AJ104">
        <f>'FOB Data'!AA116</f>
        <v>2.7759999999999998</v>
      </c>
    </row>
    <row r="105" spans="2:36">
      <c r="B105">
        <f t="shared" si="26"/>
        <v>179</v>
      </c>
      <c r="C105">
        <f t="shared" si="22"/>
        <v>462.536</v>
      </c>
      <c r="D105">
        <f>'FOB Data'!C117</f>
        <v>2.5840000000000001</v>
      </c>
      <c r="F105">
        <f t="shared" si="27"/>
        <v>179</v>
      </c>
      <c r="G105">
        <f t="shared" si="23"/>
        <v>455.01800000000117</v>
      </c>
      <c r="H105">
        <f>'FOB Data'!F117</f>
        <v>2.5420000000000065</v>
      </c>
      <c r="J105">
        <f>'FOB Data'!H117</f>
        <v>179</v>
      </c>
      <c r="K105">
        <f t="shared" si="24"/>
        <v>388.32260000000082</v>
      </c>
      <c r="L105">
        <f>'FOB Data'!I117</f>
        <v>2.1694000000000044</v>
      </c>
      <c r="N105">
        <f>'FOB Data'!K117</f>
        <v>179</v>
      </c>
      <c r="O105">
        <f t="shared" si="25"/>
        <v>429.59999999999997</v>
      </c>
      <c r="P105">
        <f>'FOB Data'!L117</f>
        <v>2.4</v>
      </c>
      <c r="R105">
        <f>'FOB Data'!N117</f>
        <v>179</v>
      </c>
      <c r="S105">
        <f t="shared" si="14"/>
        <v>437.11800000000113</v>
      </c>
      <c r="T105">
        <f>'FOB Data'!O117</f>
        <v>2.4420000000000064</v>
      </c>
      <c r="V105">
        <f>'FOB Data'!Q117</f>
        <v>179</v>
      </c>
      <c r="W105">
        <f t="shared" si="15"/>
        <v>322.2</v>
      </c>
      <c r="X105">
        <f>'FOB Data'!R117</f>
        <v>1.8</v>
      </c>
      <c r="Z105">
        <f t="shared" si="16"/>
        <v>179</v>
      </c>
      <c r="AA105">
        <f t="shared" si="17"/>
        <v>383.4180000000012</v>
      </c>
      <c r="AB105">
        <f>'FOB Data'!U117</f>
        <v>2.1420000000000066</v>
      </c>
      <c r="AD105">
        <f t="shared" si="18"/>
        <v>179</v>
      </c>
      <c r="AE105">
        <f t="shared" si="19"/>
        <v>501.2</v>
      </c>
      <c r="AF105">
        <f>'FOB Data'!X117</f>
        <v>2.8</v>
      </c>
      <c r="AH105">
        <f t="shared" si="20"/>
        <v>179</v>
      </c>
      <c r="AI105">
        <f t="shared" si="21"/>
        <v>495.47199999999998</v>
      </c>
      <c r="AJ105">
        <f>'FOB Data'!AA117</f>
        <v>2.7679999999999998</v>
      </c>
    </row>
    <row r="106" spans="2:36">
      <c r="B106">
        <f t="shared" si="26"/>
        <v>180</v>
      </c>
      <c r="C106">
        <f t="shared" si="22"/>
        <v>464.40000000000003</v>
      </c>
      <c r="D106">
        <f>'FOB Data'!C118</f>
        <v>2.58</v>
      </c>
      <c r="F106">
        <f t="shared" si="27"/>
        <v>180</v>
      </c>
      <c r="G106">
        <f t="shared" si="23"/>
        <v>457.20000000000118</v>
      </c>
      <c r="H106">
        <f>'FOB Data'!F118</f>
        <v>2.5400000000000067</v>
      </c>
      <c r="J106">
        <f>'FOB Data'!H118</f>
        <v>180</v>
      </c>
      <c r="K106">
        <f t="shared" si="24"/>
        <v>390.2400000000008</v>
      </c>
      <c r="L106">
        <f>'FOB Data'!I118</f>
        <v>2.1680000000000046</v>
      </c>
      <c r="N106">
        <f>'FOB Data'!K118</f>
        <v>180</v>
      </c>
      <c r="O106">
        <f t="shared" si="25"/>
        <v>432</v>
      </c>
      <c r="P106">
        <f>'FOB Data'!L118</f>
        <v>2.4</v>
      </c>
      <c r="R106">
        <f>'FOB Data'!N118</f>
        <v>180</v>
      </c>
      <c r="S106">
        <f t="shared" si="14"/>
        <v>439.20000000000118</v>
      </c>
      <c r="T106">
        <f>'FOB Data'!O118</f>
        <v>2.4400000000000066</v>
      </c>
      <c r="V106">
        <f>'FOB Data'!Q118</f>
        <v>180</v>
      </c>
      <c r="W106">
        <f t="shared" si="15"/>
        <v>324</v>
      </c>
      <c r="X106">
        <f>'FOB Data'!R118</f>
        <v>1.8</v>
      </c>
      <c r="Z106">
        <f t="shared" si="16"/>
        <v>180</v>
      </c>
      <c r="AA106">
        <f t="shared" si="17"/>
        <v>385.20000000000124</v>
      </c>
      <c r="AB106">
        <f>'FOB Data'!U118</f>
        <v>2.1400000000000068</v>
      </c>
      <c r="AD106">
        <f t="shared" si="18"/>
        <v>180</v>
      </c>
      <c r="AE106">
        <f t="shared" si="19"/>
        <v>503.99999999999994</v>
      </c>
      <c r="AF106">
        <f>'FOB Data'!X118</f>
        <v>2.8</v>
      </c>
      <c r="AH106">
        <f t="shared" si="20"/>
        <v>180</v>
      </c>
      <c r="AI106">
        <f t="shared" si="21"/>
        <v>496.79999999999995</v>
      </c>
      <c r="AJ106">
        <f>'FOB Data'!AA118</f>
        <v>2.76</v>
      </c>
    </row>
    <row r="107" spans="2:36">
      <c r="B107">
        <f t="shared" si="26"/>
        <v>181</v>
      </c>
      <c r="C107">
        <f t="shared" si="22"/>
        <v>466.25600000000003</v>
      </c>
      <c r="D107">
        <f>'FOB Data'!C119</f>
        <v>2.5760000000000001</v>
      </c>
      <c r="F107">
        <f t="shared" si="27"/>
        <v>181</v>
      </c>
      <c r="G107">
        <f t="shared" si="23"/>
        <v>459.37800000000124</v>
      </c>
      <c r="H107">
        <f>'FOB Data'!F119</f>
        <v>2.5380000000000069</v>
      </c>
      <c r="J107">
        <f>'FOB Data'!H119</f>
        <v>181</v>
      </c>
      <c r="K107">
        <f t="shared" si="24"/>
        <v>392.15460000000087</v>
      </c>
      <c r="L107">
        <f>'FOB Data'!I119</f>
        <v>2.1666000000000047</v>
      </c>
      <c r="N107">
        <f>'FOB Data'!K119</f>
        <v>181</v>
      </c>
      <c r="O107">
        <f t="shared" si="25"/>
        <v>434.4</v>
      </c>
      <c r="P107">
        <f>'FOB Data'!L119</f>
        <v>2.4</v>
      </c>
      <c r="R107">
        <f>'FOB Data'!N119</f>
        <v>181</v>
      </c>
      <c r="S107">
        <f t="shared" si="14"/>
        <v>441.27800000000121</v>
      </c>
      <c r="T107">
        <f>'FOB Data'!O119</f>
        <v>2.4380000000000068</v>
      </c>
      <c r="V107">
        <f>'FOB Data'!Q119</f>
        <v>181</v>
      </c>
      <c r="W107">
        <f t="shared" si="15"/>
        <v>325.8</v>
      </c>
      <c r="X107">
        <f>'FOB Data'!R119</f>
        <v>1.8</v>
      </c>
      <c r="Z107">
        <f t="shared" si="16"/>
        <v>181</v>
      </c>
      <c r="AA107">
        <f t="shared" si="17"/>
        <v>386.97800000000126</v>
      </c>
      <c r="AB107">
        <f>'FOB Data'!U119</f>
        <v>2.138000000000007</v>
      </c>
      <c r="AD107">
        <f t="shared" si="18"/>
        <v>181</v>
      </c>
      <c r="AE107">
        <f t="shared" si="19"/>
        <v>506.79999999999995</v>
      </c>
      <c r="AF107">
        <f>'FOB Data'!X119</f>
        <v>2.8</v>
      </c>
      <c r="AH107">
        <f t="shared" si="20"/>
        <v>181</v>
      </c>
      <c r="AI107">
        <f t="shared" si="21"/>
        <v>498.11199999999997</v>
      </c>
      <c r="AJ107">
        <f>'FOB Data'!AA119</f>
        <v>2.7519999999999998</v>
      </c>
    </row>
    <row r="108" spans="2:36">
      <c r="B108">
        <f t="shared" si="26"/>
        <v>182</v>
      </c>
      <c r="C108">
        <f t="shared" si="22"/>
        <v>468.10399999999998</v>
      </c>
      <c r="D108">
        <f>'FOB Data'!C120</f>
        <v>2.5720000000000001</v>
      </c>
      <c r="F108">
        <f t="shared" si="27"/>
        <v>182</v>
      </c>
      <c r="G108">
        <f t="shared" si="23"/>
        <v>461.55200000000127</v>
      </c>
      <c r="H108">
        <f>'FOB Data'!F120</f>
        <v>2.5360000000000071</v>
      </c>
      <c r="J108">
        <f>'FOB Data'!H120</f>
        <v>182</v>
      </c>
      <c r="K108">
        <f t="shared" si="24"/>
        <v>394.0664000000009</v>
      </c>
      <c r="L108">
        <f>'FOB Data'!I120</f>
        <v>2.1652000000000049</v>
      </c>
      <c r="N108">
        <f>'FOB Data'!K120</f>
        <v>182</v>
      </c>
      <c r="O108">
        <f t="shared" si="25"/>
        <v>436.8</v>
      </c>
      <c r="P108">
        <f>'FOB Data'!L120</f>
        <v>2.4</v>
      </c>
      <c r="R108">
        <f>'FOB Data'!N120</f>
        <v>182</v>
      </c>
      <c r="S108">
        <f t="shared" si="14"/>
        <v>443.35200000000128</v>
      </c>
      <c r="T108">
        <f>'FOB Data'!O120</f>
        <v>2.436000000000007</v>
      </c>
      <c r="V108">
        <f>'FOB Data'!Q120</f>
        <v>182</v>
      </c>
      <c r="W108">
        <f t="shared" si="15"/>
        <v>327.60000000000002</v>
      </c>
      <c r="X108">
        <f>'FOB Data'!R120</f>
        <v>1.8</v>
      </c>
      <c r="Z108">
        <f t="shared" si="16"/>
        <v>182</v>
      </c>
      <c r="AA108">
        <f t="shared" si="17"/>
        <v>388.75200000000132</v>
      </c>
      <c r="AB108">
        <f>'FOB Data'!U120</f>
        <v>2.1360000000000072</v>
      </c>
      <c r="AD108">
        <f t="shared" si="18"/>
        <v>182</v>
      </c>
      <c r="AE108">
        <f t="shared" si="19"/>
        <v>509.59999999999997</v>
      </c>
      <c r="AF108">
        <f>'FOB Data'!X120</f>
        <v>2.8</v>
      </c>
      <c r="AH108">
        <f t="shared" si="20"/>
        <v>182</v>
      </c>
      <c r="AI108">
        <f t="shared" si="21"/>
        <v>499.40799999999996</v>
      </c>
      <c r="AJ108">
        <f>'FOB Data'!AA120</f>
        <v>2.7439999999999998</v>
      </c>
    </row>
    <row r="109" spans="2:36">
      <c r="B109">
        <f t="shared" si="26"/>
        <v>183</v>
      </c>
      <c r="C109">
        <f t="shared" si="22"/>
        <v>469.94400000000002</v>
      </c>
      <c r="D109">
        <f>'FOB Data'!C121</f>
        <v>2.5680000000000001</v>
      </c>
      <c r="F109">
        <f t="shared" si="27"/>
        <v>183</v>
      </c>
      <c r="G109">
        <f t="shared" si="23"/>
        <v>463.72200000000134</v>
      </c>
      <c r="H109">
        <f>'FOB Data'!F121</f>
        <v>2.5340000000000074</v>
      </c>
      <c r="J109">
        <f>'FOB Data'!H121</f>
        <v>183</v>
      </c>
      <c r="K109">
        <f t="shared" si="24"/>
        <v>395.97540000000095</v>
      </c>
      <c r="L109">
        <f>'FOB Data'!I121</f>
        <v>2.1638000000000051</v>
      </c>
      <c r="N109">
        <f>'FOB Data'!K121</f>
        <v>183</v>
      </c>
      <c r="O109">
        <f t="shared" si="25"/>
        <v>439.2</v>
      </c>
      <c r="P109">
        <f>'FOB Data'!L121</f>
        <v>2.4</v>
      </c>
      <c r="R109">
        <f>'FOB Data'!N121</f>
        <v>183</v>
      </c>
      <c r="S109">
        <f t="shared" si="14"/>
        <v>445.42200000000133</v>
      </c>
      <c r="T109">
        <f>'FOB Data'!O121</f>
        <v>2.4340000000000073</v>
      </c>
      <c r="V109">
        <f>'FOB Data'!Q121</f>
        <v>183</v>
      </c>
      <c r="W109">
        <f t="shared" si="15"/>
        <v>329.40000000000003</v>
      </c>
      <c r="X109">
        <f>'FOB Data'!R121</f>
        <v>1.8</v>
      </c>
      <c r="Z109">
        <f t="shared" si="16"/>
        <v>183</v>
      </c>
      <c r="AA109">
        <f t="shared" si="17"/>
        <v>390.52200000000136</v>
      </c>
      <c r="AB109">
        <f>'FOB Data'!U121</f>
        <v>2.1340000000000074</v>
      </c>
      <c r="AD109">
        <f t="shared" si="18"/>
        <v>183</v>
      </c>
      <c r="AE109">
        <f t="shared" si="19"/>
        <v>512.4</v>
      </c>
      <c r="AF109">
        <f>'FOB Data'!X121</f>
        <v>2.8</v>
      </c>
      <c r="AH109">
        <f t="shared" si="20"/>
        <v>183</v>
      </c>
      <c r="AI109">
        <f t="shared" si="21"/>
        <v>500.68799999999993</v>
      </c>
      <c r="AJ109">
        <f>'FOB Data'!AA121</f>
        <v>2.7359999999999998</v>
      </c>
    </row>
    <row r="110" spans="2:36">
      <c r="B110">
        <f t="shared" si="26"/>
        <v>184</v>
      </c>
      <c r="C110">
        <f t="shared" si="22"/>
        <v>471.77600000000001</v>
      </c>
      <c r="D110">
        <f>'FOB Data'!C122</f>
        <v>2.5640000000000001</v>
      </c>
      <c r="F110">
        <f t="shared" si="27"/>
        <v>184</v>
      </c>
      <c r="G110">
        <f t="shared" si="23"/>
        <v>465.8880000000014</v>
      </c>
      <c r="H110">
        <f>'FOB Data'!F122</f>
        <v>2.5320000000000076</v>
      </c>
      <c r="J110">
        <f>'FOB Data'!H122</f>
        <v>184</v>
      </c>
      <c r="K110">
        <f t="shared" si="24"/>
        <v>397.88160000000096</v>
      </c>
      <c r="L110">
        <f>'FOB Data'!I122</f>
        <v>2.1624000000000052</v>
      </c>
      <c r="N110">
        <f>'FOB Data'!K122</f>
        <v>184</v>
      </c>
      <c r="O110">
        <f t="shared" si="25"/>
        <v>441.59999999999997</v>
      </c>
      <c r="P110">
        <f>'FOB Data'!L122</f>
        <v>2.4</v>
      </c>
      <c r="R110">
        <f>'FOB Data'!N122</f>
        <v>184</v>
      </c>
      <c r="S110">
        <f t="shared" si="14"/>
        <v>447.48800000000136</v>
      </c>
      <c r="T110">
        <f>'FOB Data'!O122</f>
        <v>2.4320000000000075</v>
      </c>
      <c r="V110">
        <f>'FOB Data'!Q122</f>
        <v>184</v>
      </c>
      <c r="W110">
        <f t="shared" si="15"/>
        <v>331.2</v>
      </c>
      <c r="X110">
        <f>'FOB Data'!R122</f>
        <v>1.8</v>
      </c>
      <c r="Z110">
        <f t="shared" si="16"/>
        <v>184</v>
      </c>
      <c r="AA110">
        <f t="shared" si="17"/>
        <v>392.28800000000143</v>
      </c>
      <c r="AB110">
        <f>'FOB Data'!U122</f>
        <v>2.1320000000000077</v>
      </c>
      <c r="AD110">
        <f t="shared" si="18"/>
        <v>184</v>
      </c>
      <c r="AE110">
        <f t="shared" si="19"/>
        <v>515.19999999999993</v>
      </c>
      <c r="AF110">
        <f>'FOB Data'!X122</f>
        <v>2.8</v>
      </c>
      <c r="AH110">
        <f t="shared" si="20"/>
        <v>184</v>
      </c>
      <c r="AI110">
        <f t="shared" si="21"/>
        <v>501.95199999999994</v>
      </c>
      <c r="AJ110">
        <f>'FOB Data'!AA122</f>
        <v>2.7279999999999998</v>
      </c>
    </row>
    <row r="111" spans="2:36">
      <c r="B111">
        <f t="shared" si="26"/>
        <v>185</v>
      </c>
      <c r="C111">
        <f t="shared" si="22"/>
        <v>473.6</v>
      </c>
      <c r="D111">
        <f>'FOB Data'!C123</f>
        <v>2.56</v>
      </c>
      <c r="F111">
        <f t="shared" si="27"/>
        <v>185</v>
      </c>
      <c r="G111">
        <f t="shared" si="23"/>
        <v>468.05000000000143</v>
      </c>
      <c r="H111">
        <f>'FOB Data'!F123</f>
        <v>2.5300000000000078</v>
      </c>
      <c r="J111">
        <f>'FOB Data'!H123</f>
        <v>185</v>
      </c>
      <c r="K111">
        <f t="shared" si="24"/>
        <v>399.78500000000099</v>
      </c>
      <c r="L111">
        <f>'FOB Data'!I123</f>
        <v>2.1610000000000054</v>
      </c>
      <c r="N111">
        <f>'FOB Data'!K123</f>
        <v>185</v>
      </c>
      <c r="O111">
        <f t="shared" si="25"/>
        <v>444</v>
      </c>
      <c r="P111">
        <f>'FOB Data'!L123</f>
        <v>2.4</v>
      </c>
      <c r="R111">
        <f>'FOB Data'!N123</f>
        <v>185</v>
      </c>
      <c r="S111">
        <f t="shared" si="14"/>
        <v>449.55000000000143</v>
      </c>
      <c r="T111">
        <f>'FOB Data'!O123</f>
        <v>2.4300000000000077</v>
      </c>
      <c r="V111">
        <f>'FOB Data'!Q123</f>
        <v>185</v>
      </c>
      <c r="W111">
        <f t="shared" si="15"/>
        <v>333</v>
      </c>
      <c r="X111">
        <f>'FOB Data'!R123</f>
        <v>1.8</v>
      </c>
      <c r="Z111">
        <f t="shared" si="16"/>
        <v>185</v>
      </c>
      <c r="AA111">
        <f t="shared" si="17"/>
        <v>394.05000000000143</v>
      </c>
      <c r="AB111">
        <f>'FOB Data'!U123</f>
        <v>2.1300000000000079</v>
      </c>
      <c r="AD111">
        <f t="shared" si="18"/>
        <v>185</v>
      </c>
      <c r="AE111">
        <f t="shared" si="19"/>
        <v>518</v>
      </c>
      <c r="AF111">
        <f>'FOB Data'!X123</f>
        <v>2.8</v>
      </c>
      <c r="AH111">
        <f t="shared" si="20"/>
        <v>185</v>
      </c>
      <c r="AI111">
        <f t="shared" si="21"/>
        <v>503.19999999999993</v>
      </c>
      <c r="AJ111">
        <f>'FOB Data'!AA123</f>
        <v>2.7199999999999998</v>
      </c>
    </row>
    <row r="112" spans="2:36">
      <c r="B112">
        <f t="shared" si="26"/>
        <v>186</v>
      </c>
      <c r="C112">
        <f t="shared" si="22"/>
        <v>475.416</v>
      </c>
      <c r="D112">
        <f>'FOB Data'!C124</f>
        <v>2.556</v>
      </c>
      <c r="F112">
        <f t="shared" si="27"/>
        <v>186</v>
      </c>
      <c r="G112">
        <f t="shared" si="23"/>
        <v>470.2080000000015</v>
      </c>
      <c r="H112">
        <f>'FOB Data'!F124</f>
        <v>2.528000000000008</v>
      </c>
      <c r="J112">
        <f>'FOB Data'!H124</f>
        <v>186</v>
      </c>
      <c r="K112">
        <f t="shared" si="24"/>
        <v>401.68560000000105</v>
      </c>
      <c r="L112">
        <f>'FOB Data'!I124</f>
        <v>2.1596000000000055</v>
      </c>
      <c r="N112">
        <f>'FOB Data'!K124</f>
        <v>186</v>
      </c>
      <c r="O112">
        <f t="shared" si="25"/>
        <v>446.4</v>
      </c>
      <c r="P112">
        <f>'FOB Data'!L124</f>
        <v>2.4</v>
      </c>
      <c r="R112">
        <f>'FOB Data'!N124</f>
        <v>186</v>
      </c>
      <c r="S112">
        <f t="shared" si="14"/>
        <v>451.60800000000148</v>
      </c>
      <c r="T112">
        <f>'FOB Data'!O124</f>
        <v>2.4280000000000079</v>
      </c>
      <c r="V112">
        <f>'FOB Data'!Q124</f>
        <v>186</v>
      </c>
      <c r="W112">
        <f t="shared" si="15"/>
        <v>334.8</v>
      </c>
      <c r="X112">
        <f>'FOB Data'!R124</f>
        <v>1.8</v>
      </c>
      <c r="Z112">
        <f t="shared" si="16"/>
        <v>186</v>
      </c>
      <c r="AA112">
        <f t="shared" si="17"/>
        <v>395.80800000000153</v>
      </c>
      <c r="AB112">
        <f>'FOB Data'!U124</f>
        <v>2.1280000000000081</v>
      </c>
      <c r="AD112">
        <f t="shared" si="18"/>
        <v>186</v>
      </c>
      <c r="AE112">
        <f t="shared" si="19"/>
        <v>520.79999999999995</v>
      </c>
      <c r="AF112">
        <f>'FOB Data'!X124</f>
        <v>2.8</v>
      </c>
      <c r="AH112">
        <f t="shared" si="20"/>
        <v>186</v>
      </c>
      <c r="AI112">
        <f t="shared" si="21"/>
        <v>504.43199999999996</v>
      </c>
      <c r="AJ112">
        <f>'FOB Data'!AA124</f>
        <v>2.7119999999999997</v>
      </c>
    </row>
    <row r="113" spans="2:36">
      <c r="B113">
        <f t="shared" si="26"/>
        <v>187</v>
      </c>
      <c r="C113">
        <f t="shared" si="22"/>
        <v>477.22399999999999</v>
      </c>
      <c r="D113">
        <f>'FOB Data'!C125</f>
        <v>2.552</v>
      </c>
      <c r="F113">
        <f t="shared" si="27"/>
        <v>187</v>
      </c>
      <c r="G113">
        <f t="shared" si="23"/>
        <v>472.36200000000156</v>
      </c>
      <c r="H113">
        <f>'FOB Data'!F125</f>
        <v>2.5260000000000082</v>
      </c>
      <c r="J113">
        <f>'FOB Data'!H125</f>
        <v>187</v>
      </c>
      <c r="K113">
        <f t="shared" si="24"/>
        <v>403.58340000000106</v>
      </c>
      <c r="L113">
        <f>'FOB Data'!I125</f>
        <v>2.1582000000000057</v>
      </c>
      <c r="N113">
        <f>'FOB Data'!K125</f>
        <v>187</v>
      </c>
      <c r="O113">
        <f t="shared" si="25"/>
        <v>448.8</v>
      </c>
      <c r="P113">
        <f>'FOB Data'!L125</f>
        <v>2.4</v>
      </c>
      <c r="R113">
        <f>'FOB Data'!N125</f>
        <v>187</v>
      </c>
      <c r="S113">
        <f t="shared" si="14"/>
        <v>453.66200000000151</v>
      </c>
      <c r="T113">
        <f>'FOB Data'!O125</f>
        <v>2.4260000000000081</v>
      </c>
      <c r="V113">
        <f>'FOB Data'!Q125</f>
        <v>187</v>
      </c>
      <c r="W113">
        <f t="shared" si="15"/>
        <v>336.6</v>
      </c>
      <c r="X113">
        <f>'FOB Data'!R125</f>
        <v>1.8</v>
      </c>
      <c r="Z113">
        <f t="shared" si="16"/>
        <v>187</v>
      </c>
      <c r="AA113">
        <f t="shared" si="17"/>
        <v>397.56200000000155</v>
      </c>
      <c r="AB113">
        <f>'FOB Data'!U125</f>
        <v>2.1260000000000083</v>
      </c>
      <c r="AD113">
        <f t="shared" si="18"/>
        <v>187</v>
      </c>
      <c r="AE113">
        <f t="shared" si="19"/>
        <v>523.6</v>
      </c>
      <c r="AF113">
        <f>'FOB Data'!X125</f>
        <v>2.8</v>
      </c>
      <c r="AH113">
        <f t="shared" si="20"/>
        <v>187</v>
      </c>
      <c r="AI113">
        <f t="shared" si="21"/>
        <v>505.64799999999997</v>
      </c>
      <c r="AJ113">
        <f>'FOB Data'!AA125</f>
        <v>2.7039999999999997</v>
      </c>
    </row>
    <row r="114" spans="2:36">
      <c r="B114">
        <f t="shared" si="26"/>
        <v>188</v>
      </c>
      <c r="C114">
        <f t="shared" si="22"/>
        <v>479.024</v>
      </c>
      <c r="D114">
        <f>'FOB Data'!C126</f>
        <v>2.548</v>
      </c>
      <c r="F114">
        <f t="shared" si="27"/>
        <v>188</v>
      </c>
      <c r="G114">
        <f t="shared" si="23"/>
        <v>474.51200000000159</v>
      </c>
      <c r="H114">
        <f>'FOB Data'!F126</f>
        <v>2.5240000000000085</v>
      </c>
      <c r="J114">
        <f>'FOB Data'!H126</f>
        <v>188</v>
      </c>
      <c r="K114">
        <f t="shared" si="24"/>
        <v>405.4784000000011</v>
      </c>
      <c r="L114">
        <f>'FOB Data'!I126</f>
        <v>2.1568000000000058</v>
      </c>
      <c r="N114">
        <f>'FOB Data'!K126</f>
        <v>188</v>
      </c>
      <c r="O114">
        <f t="shared" si="25"/>
        <v>451.2</v>
      </c>
      <c r="P114">
        <f>'FOB Data'!L126</f>
        <v>2.4</v>
      </c>
      <c r="R114">
        <f>'FOB Data'!N126</f>
        <v>188</v>
      </c>
      <c r="S114">
        <f t="shared" si="14"/>
        <v>455.71200000000158</v>
      </c>
      <c r="T114">
        <f>'FOB Data'!O126</f>
        <v>2.4240000000000084</v>
      </c>
      <c r="V114">
        <f>'FOB Data'!Q126</f>
        <v>188</v>
      </c>
      <c r="W114">
        <f t="shared" si="15"/>
        <v>338.40000000000003</v>
      </c>
      <c r="X114">
        <f>'FOB Data'!R126</f>
        <v>1.8</v>
      </c>
      <c r="Z114">
        <f t="shared" si="16"/>
        <v>188</v>
      </c>
      <c r="AA114">
        <f t="shared" si="17"/>
        <v>399.3120000000016</v>
      </c>
      <c r="AB114">
        <f>'FOB Data'!U126</f>
        <v>2.1240000000000085</v>
      </c>
      <c r="AD114">
        <f t="shared" si="18"/>
        <v>188</v>
      </c>
      <c r="AE114">
        <f t="shared" si="19"/>
        <v>526.4</v>
      </c>
      <c r="AF114">
        <f>'FOB Data'!X126</f>
        <v>2.8</v>
      </c>
      <c r="AH114">
        <f t="shared" si="20"/>
        <v>188</v>
      </c>
      <c r="AI114">
        <f t="shared" si="21"/>
        <v>506.84799999999996</v>
      </c>
      <c r="AJ114">
        <f>'FOB Data'!AA126</f>
        <v>2.6959999999999997</v>
      </c>
    </row>
    <row r="115" spans="2:36">
      <c r="B115">
        <f t="shared" si="26"/>
        <v>189</v>
      </c>
      <c r="C115">
        <f t="shared" si="22"/>
        <v>480.81600000000003</v>
      </c>
      <c r="D115">
        <f>'FOB Data'!C127</f>
        <v>2.544</v>
      </c>
      <c r="F115">
        <f t="shared" si="27"/>
        <v>189</v>
      </c>
      <c r="G115">
        <f t="shared" si="23"/>
        <v>476.65800000000166</v>
      </c>
      <c r="H115">
        <f>'FOB Data'!F127</f>
        <v>2.5220000000000087</v>
      </c>
      <c r="J115">
        <f>'FOB Data'!H127</f>
        <v>189</v>
      </c>
      <c r="K115">
        <f t="shared" si="24"/>
        <v>407.3706000000011</v>
      </c>
      <c r="L115">
        <f>'FOB Data'!I127</f>
        <v>2.155400000000006</v>
      </c>
      <c r="N115">
        <f>'FOB Data'!K127</f>
        <v>189</v>
      </c>
      <c r="O115">
        <f t="shared" si="25"/>
        <v>453.59999999999997</v>
      </c>
      <c r="P115">
        <f>'FOB Data'!L127</f>
        <v>2.4</v>
      </c>
      <c r="R115">
        <f>'FOB Data'!N127</f>
        <v>189</v>
      </c>
      <c r="S115">
        <f t="shared" si="14"/>
        <v>457.75800000000163</v>
      </c>
      <c r="T115">
        <f>'FOB Data'!O127</f>
        <v>2.4220000000000086</v>
      </c>
      <c r="V115">
        <f>'FOB Data'!Q127</f>
        <v>189</v>
      </c>
      <c r="W115">
        <f t="shared" si="15"/>
        <v>340.2</v>
      </c>
      <c r="X115">
        <f>'FOB Data'!R127</f>
        <v>1.8</v>
      </c>
      <c r="Z115">
        <f t="shared" si="16"/>
        <v>189</v>
      </c>
      <c r="AA115">
        <f t="shared" si="17"/>
        <v>401.05800000000164</v>
      </c>
      <c r="AB115">
        <f>'FOB Data'!U127</f>
        <v>2.1220000000000088</v>
      </c>
      <c r="AD115">
        <f t="shared" si="18"/>
        <v>189</v>
      </c>
      <c r="AE115">
        <f t="shared" si="19"/>
        <v>529.19999999999993</v>
      </c>
      <c r="AF115">
        <f>'FOB Data'!X127</f>
        <v>2.8</v>
      </c>
      <c r="AH115">
        <f t="shared" si="20"/>
        <v>189</v>
      </c>
      <c r="AI115">
        <f t="shared" si="21"/>
        <v>508.03199999999993</v>
      </c>
      <c r="AJ115">
        <f>'FOB Data'!AA127</f>
        <v>2.6879999999999997</v>
      </c>
    </row>
    <row r="116" spans="2:36">
      <c r="B116">
        <f t="shared" si="26"/>
        <v>190</v>
      </c>
      <c r="C116">
        <f t="shared" si="22"/>
        <v>482.6</v>
      </c>
      <c r="D116">
        <f>'FOB Data'!C128</f>
        <v>2.54</v>
      </c>
      <c r="F116">
        <f t="shared" si="27"/>
        <v>190</v>
      </c>
      <c r="G116">
        <f t="shared" si="23"/>
        <v>478.80000000000172</v>
      </c>
      <c r="H116">
        <f>'FOB Data'!F128</f>
        <v>2.5200000000000089</v>
      </c>
      <c r="J116">
        <f>'FOB Data'!H128</f>
        <v>190</v>
      </c>
      <c r="K116">
        <f t="shared" si="24"/>
        <v>409.26000000000118</v>
      </c>
      <c r="L116">
        <f>'FOB Data'!I128</f>
        <v>2.1540000000000061</v>
      </c>
      <c r="N116">
        <f>'FOB Data'!K128</f>
        <v>190</v>
      </c>
      <c r="O116">
        <f t="shared" si="25"/>
        <v>456</v>
      </c>
      <c r="P116">
        <f>'FOB Data'!L128</f>
        <v>2.4</v>
      </c>
      <c r="R116">
        <f>'FOB Data'!N128</f>
        <v>190</v>
      </c>
      <c r="S116">
        <f t="shared" si="14"/>
        <v>459.80000000000166</v>
      </c>
      <c r="T116">
        <f>'FOB Data'!O128</f>
        <v>2.4200000000000088</v>
      </c>
      <c r="V116">
        <f>'FOB Data'!Q128</f>
        <v>190</v>
      </c>
      <c r="W116">
        <f t="shared" si="15"/>
        <v>342</v>
      </c>
      <c r="X116">
        <f>'FOB Data'!R128</f>
        <v>1.8</v>
      </c>
      <c r="Z116">
        <f t="shared" si="16"/>
        <v>190</v>
      </c>
      <c r="AA116">
        <f t="shared" si="17"/>
        <v>402.80000000000172</v>
      </c>
      <c r="AB116">
        <f>'FOB Data'!U128</f>
        <v>2.120000000000009</v>
      </c>
      <c r="AD116">
        <f t="shared" si="18"/>
        <v>190</v>
      </c>
      <c r="AE116">
        <f t="shared" si="19"/>
        <v>532</v>
      </c>
      <c r="AF116">
        <f>'FOB Data'!X128</f>
        <v>2.8</v>
      </c>
      <c r="AH116">
        <f t="shared" si="20"/>
        <v>190</v>
      </c>
      <c r="AI116">
        <f t="shared" si="21"/>
        <v>509.19999999999993</v>
      </c>
      <c r="AJ116">
        <f>'FOB Data'!AA128</f>
        <v>2.6799999999999997</v>
      </c>
    </row>
    <row r="117" spans="2:36">
      <c r="B117">
        <f t="shared" si="26"/>
        <v>191</v>
      </c>
      <c r="C117">
        <f t="shared" si="22"/>
        <v>484.37600000000003</v>
      </c>
      <c r="D117">
        <f>'FOB Data'!C129</f>
        <v>2.536</v>
      </c>
      <c r="F117">
        <f t="shared" si="27"/>
        <v>191</v>
      </c>
      <c r="G117">
        <f t="shared" si="23"/>
        <v>480.93800000000175</v>
      </c>
      <c r="H117">
        <f>'FOB Data'!F129</f>
        <v>2.5180000000000091</v>
      </c>
      <c r="J117">
        <f>'FOB Data'!H129</f>
        <v>191</v>
      </c>
      <c r="K117">
        <f t="shared" si="24"/>
        <v>411.14660000000123</v>
      </c>
      <c r="L117">
        <f>'FOB Data'!I129</f>
        <v>2.1526000000000063</v>
      </c>
      <c r="N117">
        <f>'FOB Data'!K129</f>
        <v>191</v>
      </c>
      <c r="O117">
        <f t="shared" si="25"/>
        <v>458.4</v>
      </c>
      <c r="P117">
        <f>'FOB Data'!L129</f>
        <v>2.4</v>
      </c>
      <c r="R117">
        <f>'FOB Data'!N129</f>
        <v>191</v>
      </c>
      <c r="S117">
        <f t="shared" si="14"/>
        <v>461.83800000000173</v>
      </c>
      <c r="T117">
        <f>'FOB Data'!O129</f>
        <v>2.418000000000009</v>
      </c>
      <c r="V117">
        <f>'FOB Data'!Q129</f>
        <v>191</v>
      </c>
      <c r="W117">
        <f t="shared" si="15"/>
        <v>343.8</v>
      </c>
      <c r="X117">
        <f>'FOB Data'!R129</f>
        <v>1.8</v>
      </c>
      <c r="Z117">
        <f t="shared" si="16"/>
        <v>191</v>
      </c>
      <c r="AA117">
        <f t="shared" si="17"/>
        <v>404.53800000000177</v>
      </c>
      <c r="AB117">
        <f>'FOB Data'!U129</f>
        <v>2.1180000000000092</v>
      </c>
      <c r="AD117">
        <f t="shared" si="18"/>
        <v>191</v>
      </c>
      <c r="AE117">
        <f t="shared" si="19"/>
        <v>534.79999999999995</v>
      </c>
      <c r="AF117">
        <f>'FOB Data'!X129</f>
        <v>2.8</v>
      </c>
      <c r="AH117">
        <f t="shared" si="20"/>
        <v>191</v>
      </c>
      <c r="AI117">
        <f t="shared" si="21"/>
        <v>510.35199999999992</v>
      </c>
      <c r="AJ117">
        <f>'FOB Data'!AA129</f>
        <v>2.6719999999999997</v>
      </c>
    </row>
    <row r="118" spans="2:36">
      <c r="B118">
        <f t="shared" si="26"/>
        <v>192</v>
      </c>
      <c r="C118">
        <f t="shared" si="22"/>
        <v>486.14400000000001</v>
      </c>
      <c r="D118">
        <f>'FOB Data'!C130</f>
        <v>2.532</v>
      </c>
      <c r="F118">
        <f t="shared" si="27"/>
        <v>192</v>
      </c>
      <c r="G118">
        <f t="shared" si="23"/>
        <v>483.07200000000182</v>
      </c>
      <c r="H118">
        <f>'FOB Data'!F130</f>
        <v>2.5160000000000093</v>
      </c>
      <c r="J118">
        <f>'FOB Data'!H130</f>
        <v>192</v>
      </c>
      <c r="K118">
        <f t="shared" si="24"/>
        <v>413.03040000000124</v>
      </c>
      <c r="L118">
        <f>'FOB Data'!I130</f>
        <v>2.1512000000000064</v>
      </c>
      <c r="N118">
        <f>'FOB Data'!K130</f>
        <v>192</v>
      </c>
      <c r="O118">
        <f t="shared" si="25"/>
        <v>460.79999999999995</v>
      </c>
      <c r="P118">
        <f>'FOB Data'!L130</f>
        <v>2.4</v>
      </c>
      <c r="R118">
        <f>'FOB Data'!N130</f>
        <v>192</v>
      </c>
      <c r="S118">
        <f t="shared" si="14"/>
        <v>463.87200000000178</v>
      </c>
      <c r="T118">
        <f>'FOB Data'!O130</f>
        <v>2.4160000000000093</v>
      </c>
      <c r="V118">
        <f>'FOB Data'!Q130</f>
        <v>192</v>
      </c>
      <c r="W118">
        <f t="shared" si="15"/>
        <v>345.6</v>
      </c>
      <c r="X118">
        <f>'FOB Data'!R130</f>
        <v>1.8</v>
      </c>
      <c r="Z118">
        <f t="shared" si="16"/>
        <v>192</v>
      </c>
      <c r="AA118">
        <f t="shared" si="17"/>
        <v>406.27200000000181</v>
      </c>
      <c r="AB118">
        <f>'FOB Data'!U130</f>
        <v>2.1160000000000094</v>
      </c>
      <c r="AD118">
        <f t="shared" si="18"/>
        <v>192</v>
      </c>
      <c r="AE118">
        <f t="shared" si="19"/>
        <v>537.59999999999991</v>
      </c>
      <c r="AF118">
        <f>'FOB Data'!X130</f>
        <v>2.8</v>
      </c>
      <c r="AH118">
        <f t="shared" si="20"/>
        <v>192</v>
      </c>
      <c r="AI118">
        <f t="shared" si="21"/>
        <v>511.48799999999994</v>
      </c>
      <c r="AJ118">
        <f>'FOB Data'!AA130</f>
        <v>2.6639999999999997</v>
      </c>
    </row>
    <row r="119" spans="2:36">
      <c r="B119">
        <f t="shared" si="26"/>
        <v>193</v>
      </c>
      <c r="C119">
        <f t="shared" si="22"/>
        <v>487.904</v>
      </c>
      <c r="D119">
        <f>'FOB Data'!C131</f>
        <v>2.528</v>
      </c>
      <c r="F119">
        <f t="shared" si="27"/>
        <v>193</v>
      </c>
      <c r="G119">
        <f t="shared" si="23"/>
        <v>485.20200000000182</v>
      </c>
      <c r="H119">
        <f>'FOB Data'!F131</f>
        <v>2.5140000000000096</v>
      </c>
      <c r="J119">
        <f>'FOB Data'!H131</f>
        <v>193</v>
      </c>
      <c r="K119">
        <f t="shared" si="24"/>
        <v>414.91140000000127</v>
      </c>
      <c r="L119">
        <f>'FOB Data'!I131</f>
        <v>2.1498000000000066</v>
      </c>
      <c r="N119">
        <f>'FOB Data'!K131</f>
        <v>193</v>
      </c>
      <c r="O119">
        <f t="shared" si="25"/>
        <v>463.2</v>
      </c>
      <c r="P119">
        <f>'FOB Data'!L131</f>
        <v>2.4</v>
      </c>
      <c r="R119">
        <f>'FOB Data'!N131</f>
        <v>193</v>
      </c>
      <c r="S119">
        <f t="shared" si="14"/>
        <v>465.90200000000181</v>
      </c>
      <c r="T119">
        <f>'FOB Data'!O131</f>
        <v>2.4140000000000095</v>
      </c>
      <c r="V119">
        <f>'FOB Data'!Q131</f>
        <v>193</v>
      </c>
      <c r="W119">
        <f t="shared" si="15"/>
        <v>347.40000000000003</v>
      </c>
      <c r="X119">
        <f>'FOB Data'!R131</f>
        <v>1.8</v>
      </c>
      <c r="Z119">
        <f t="shared" si="16"/>
        <v>193</v>
      </c>
      <c r="AA119">
        <f t="shared" si="17"/>
        <v>408.00200000000189</v>
      </c>
      <c r="AB119">
        <f>'FOB Data'!U131</f>
        <v>2.1140000000000096</v>
      </c>
      <c r="AD119">
        <f t="shared" si="18"/>
        <v>193</v>
      </c>
      <c r="AE119">
        <f t="shared" si="19"/>
        <v>540.4</v>
      </c>
      <c r="AF119">
        <f>'FOB Data'!X131</f>
        <v>2.8</v>
      </c>
      <c r="AH119">
        <f t="shared" si="20"/>
        <v>193</v>
      </c>
      <c r="AI119">
        <f t="shared" si="21"/>
        <v>512.60799999999995</v>
      </c>
      <c r="AJ119">
        <f>'FOB Data'!AA131</f>
        <v>2.6559999999999997</v>
      </c>
    </row>
    <row r="120" spans="2:36">
      <c r="B120">
        <f t="shared" si="26"/>
        <v>194</v>
      </c>
      <c r="C120">
        <f t="shared" si="22"/>
        <v>489.65600000000001</v>
      </c>
      <c r="D120">
        <f>'FOB Data'!C132</f>
        <v>2.524</v>
      </c>
      <c r="F120">
        <f t="shared" si="27"/>
        <v>194</v>
      </c>
      <c r="G120">
        <f t="shared" si="23"/>
        <v>487.32800000000191</v>
      </c>
      <c r="H120">
        <f>'FOB Data'!F132</f>
        <v>2.5120000000000098</v>
      </c>
      <c r="J120">
        <f>'FOB Data'!H132</f>
        <v>194</v>
      </c>
      <c r="K120">
        <f t="shared" si="24"/>
        <v>416.78960000000131</v>
      </c>
      <c r="L120">
        <f>'FOB Data'!I132</f>
        <v>2.1484000000000067</v>
      </c>
      <c r="N120">
        <f>'FOB Data'!K132</f>
        <v>194</v>
      </c>
      <c r="O120">
        <f t="shared" si="25"/>
        <v>465.59999999999997</v>
      </c>
      <c r="P120">
        <f>'FOB Data'!L132</f>
        <v>2.4</v>
      </c>
      <c r="R120">
        <f>'FOB Data'!N132</f>
        <v>194</v>
      </c>
      <c r="S120">
        <f t="shared" si="14"/>
        <v>467.92800000000187</v>
      </c>
      <c r="T120">
        <f>'FOB Data'!O132</f>
        <v>2.4120000000000097</v>
      </c>
      <c r="V120">
        <f>'FOB Data'!Q132</f>
        <v>194</v>
      </c>
      <c r="W120">
        <f t="shared" si="15"/>
        <v>349.2</v>
      </c>
      <c r="X120">
        <f>'FOB Data'!R132</f>
        <v>1.8</v>
      </c>
      <c r="Z120">
        <f t="shared" si="16"/>
        <v>194</v>
      </c>
      <c r="AA120">
        <f t="shared" si="17"/>
        <v>409.72800000000194</v>
      </c>
      <c r="AB120">
        <f>'FOB Data'!U132</f>
        <v>2.1120000000000099</v>
      </c>
      <c r="AD120">
        <f t="shared" si="18"/>
        <v>194</v>
      </c>
      <c r="AE120">
        <f t="shared" si="19"/>
        <v>543.19999999999993</v>
      </c>
      <c r="AF120">
        <f>'FOB Data'!X132</f>
        <v>2.8</v>
      </c>
      <c r="AH120">
        <f t="shared" si="20"/>
        <v>194</v>
      </c>
      <c r="AI120">
        <f t="shared" si="21"/>
        <v>513.71199999999999</v>
      </c>
      <c r="AJ120">
        <f>'FOB Data'!AA132</f>
        <v>2.6479999999999997</v>
      </c>
    </row>
    <row r="121" spans="2:36">
      <c r="B121">
        <f t="shared" si="26"/>
        <v>195</v>
      </c>
      <c r="C121">
        <f t="shared" si="22"/>
        <v>491.4</v>
      </c>
      <c r="D121">
        <f>'FOB Data'!C133</f>
        <v>2.52</v>
      </c>
      <c r="F121">
        <f t="shared" si="27"/>
        <v>195</v>
      </c>
      <c r="G121">
        <f t="shared" si="23"/>
        <v>489.45000000000198</v>
      </c>
      <c r="H121">
        <f>'FOB Data'!F133</f>
        <v>2.51000000000001</v>
      </c>
      <c r="J121">
        <f>'FOB Data'!H133</f>
        <v>195</v>
      </c>
      <c r="K121">
        <f t="shared" si="24"/>
        <v>418.66500000000133</v>
      </c>
      <c r="L121">
        <f>'FOB Data'!I133</f>
        <v>2.1470000000000069</v>
      </c>
      <c r="N121">
        <f>'FOB Data'!K133</f>
        <v>195</v>
      </c>
      <c r="O121">
        <f t="shared" si="25"/>
        <v>468</v>
      </c>
      <c r="P121">
        <f>'FOB Data'!L133</f>
        <v>2.4</v>
      </c>
      <c r="R121">
        <f>'FOB Data'!N133</f>
        <v>195</v>
      </c>
      <c r="S121">
        <f t="shared" si="14"/>
        <v>469.95000000000192</v>
      </c>
      <c r="T121">
        <f>'FOB Data'!O133</f>
        <v>2.4100000000000099</v>
      </c>
      <c r="V121">
        <f>'FOB Data'!Q133</f>
        <v>195</v>
      </c>
      <c r="W121">
        <f t="shared" si="15"/>
        <v>351</v>
      </c>
      <c r="X121">
        <f>'FOB Data'!R133</f>
        <v>1.8</v>
      </c>
      <c r="Z121">
        <f t="shared" si="16"/>
        <v>195</v>
      </c>
      <c r="AA121">
        <f t="shared" si="17"/>
        <v>411.45000000000198</v>
      </c>
      <c r="AB121">
        <f>'FOB Data'!U133</f>
        <v>2.1100000000000101</v>
      </c>
      <c r="AD121">
        <f t="shared" si="18"/>
        <v>195</v>
      </c>
      <c r="AE121">
        <f t="shared" si="19"/>
        <v>546</v>
      </c>
      <c r="AF121">
        <f>'FOB Data'!X133</f>
        <v>2.8</v>
      </c>
      <c r="AH121">
        <f t="shared" si="20"/>
        <v>195</v>
      </c>
      <c r="AI121">
        <f t="shared" si="21"/>
        <v>514.79999999999995</v>
      </c>
      <c r="AJ121">
        <f>'FOB Data'!AA133</f>
        <v>2.6399999999999997</v>
      </c>
    </row>
    <row r="122" spans="2:36">
      <c r="B122">
        <f t="shared" si="26"/>
        <v>196</v>
      </c>
      <c r="C122">
        <f t="shared" si="22"/>
        <v>493.13600000000002</v>
      </c>
      <c r="D122">
        <f>'FOB Data'!C134</f>
        <v>2.516</v>
      </c>
      <c r="F122">
        <f t="shared" si="27"/>
        <v>196</v>
      </c>
      <c r="G122">
        <f t="shared" si="23"/>
        <v>491.56800000000203</v>
      </c>
      <c r="H122">
        <f>'FOB Data'!F134</f>
        <v>2.5080000000000102</v>
      </c>
      <c r="J122">
        <f>'FOB Data'!H134</f>
        <v>196</v>
      </c>
      <c r="K122">
        <f t="shared" si="24"/>
        <v>420.53760000000136</v>
      </c>
      <c r="L122">
        <f>'FOB Data'!I134</f>
        <v>2.1456000000000071</v>
      </c>
      <c r="N122">
        <f>'FOB Data'!K134</f>
        <v>196</v>
      </c>
      <c r="O122">
        <f t="shared" si="25"/>
        <v>470.4</v>
      </c>
      <c r="P122">
        <f>'FOB Data'!L134</f>
        <v>2.4</v>
      </c>
      <c r="R122">
        <f>'FOB Data'!N134</f>
        <v>196</v>
      </c>
      <c r="S122">
        <f t="shared" si="14"/>
        <v>471.96800000000201</v>
      </c>
      <c r="T122">
        <f>'FOB Data'!O134</f>
        <v>2.4080000000000101</v>
      </c>
      <c r="V122">
        <f>'FOB Data'!Q134</f>
        <v>196</v>
      </c>
      <c r="W122">
        <f t="shared" si="15"/>
        <v>352.8</v>
      </c>
      <c r="X122">
        <f>'FOB Data'!R134</f>
        <v>1.8</v>
      </c>
      <c r="Z122">
        <f t="shared" si="16"/>
        <v>196</v>
      </c>
      <c r="AA122">
        <f t="shared" si="17"/>
        <v>413.168000000002</v>
      </c>
      <c r="AB122">
        <f>'FOB Data'!U134</f>
        <v>2.1080000000000103</v>
      </c>
      <c r="AD122">
        <f t="shared" si="18"/>
        <v>196</v>
      </c>
      <c r="AE122">
        <f t="shared" si="19"/>
        <v>548.79999999999995</v>
      </c>
      <c r="AF122">
        <f>'FOB Data'!X134</f>
        <v>2.8</v>
      </c>
      <c r="AH122">
        <f t="shared" si="20"/>
        <v>196</v>
      </c>
      <c r="AI122">
        <f t="shared" si="21"/>
        <v>515.87199999999996</v>
      </c>
      <c r="AJ122">
        <f>'FOB Data'!AA134</f>
        <v>2.6319999999999997</v>
      </c>
    </row>
    <row r="123" spans="2:36">
      <c r="B123">
        <f t="shared" si="26"/>
        <v>197</v>
      </c>
      <c r="C123">
        <f t="shared" si="22"/>
        <v>494.86399999999998</v>
      </c>
      <c r="D123">
        <f>'FOB Data'!C135</f>
        <v>2.512</v>
      </c>
      <c r="F123">
        <f t="shared" si="27"/>
        <v>197</v>
      </c>
      <c r="G123">
        <f t="shared" si="23"/>
        <v>493.68200000000206</v>
      </c>
      <c r="H123">
        <f>'FOB Data'!F135</f>
        <v>2.5060000000000104</v>
      </c>
      <c r="J123">
        <f>'FOB Data'!H135</f>
        <v>197</v>
      </c>
      <c r="K123">
        <f t="shared" si="24"/>
        <v>422.40740000000142</v>
      </c>
      <c r="L123">
        <f>'FOB Data'!I135</f>
        <v>2.1442000000000072</v>
      </c>
      <c r="N123">
        <f>'FOB Data'!K135</f>
        <v>197</v>
      </c>
      <c r="O123">
        <f t="shared" si="25"/>
        <v>472.79999999999995</v>
      </c>
      <c r="P123">
        <f>'FOB Data'!L135</f>
        <v>2.4</v>
      </c>
      <c r="R123">
        <f>'FOB Data'!N135</f>
        <v>197</v>
      </c>
      <c r="S123">
        <f t="shared" si="14"/>
        <v>473.98200000000202</v>
      </c>
      <c r="T123">
        <f>'FOB Data'!O135</f>
        <v>2.4060000000000104</v>
      </c>
      <c r="V123">
        <f>'FOB Data'!Q135</f>
        <v>197</v>
      </c>
      <c r="W123">
        <f t="shared" si="15"/>
        <v>354.6</v>
      </c>
      <c r="X123">
        <f>'FOB Data'!R135</f>
        <v>1.8</v>
      </c>
      <c r="Z123">
        <f t="shared" si="16"/>
        <v>197</v>
      </c>
      <c r="AA123">
        <f t="shared" si="17"/>
        <v>414.88200000000205</v>
      </c>
      <c r="AB123">
        <f>'FOB Data'!U135</f>
        <v>2.1060000000000105</v>
      </c>
      <c r="AD123">
        <f t="shared" si="18"/>
        <v>197</v>
      </c>
      <c r="AE123">
        <f t="shared" si="19"/>
        <v>551.59999999999991</v>
      </c>
      <c r="AF123">
        <f>'FOB Data'!X135</f>
        <v>2.8</v>
      </c>
      <c r="AH123">
        <f t="shared" si="20"/>
        <v>197</v>
      </c>
      <c r="AI123">
        <f t="shared" si="21"/>
        <v>516.92799999999988</v>
      </c>
      <c r="AJ123">
        <f>'FOB Data'!AA135</f>
        <v>2.6239999999999997</v>
      </c>
    </row>
    <row r="124" spans="2:36">
      <c r="B124">
        <f t="shared" si="26"/>
        <v>198</v>
      </c>
      <c r="C124">
        <f t="shared" si="22"/>
        <v>496.584</v>
      </c>
      <c r="D124">
        <f>'FOB Data'!C136</f>
        <v>2.508</v>
      </c>
      <c r="F124">
        <f t="shared" si="27"/>
        <v>198</v>
      </c>
      <c r="G124">
        <f t="shared" si="23"/>
        <v>495.79200000000213</v>
      </c>
      <c r="H124">
        <f>'FOB Data'!F136</f>
        <v>2.5040000000000107</v>
      </c>
      <c r="J124">
        <f>'FOB Data'!H136</f>
        <v>198</v>
      </c>
      <c r="K124">
        <f t="shared" si="24"/>
        <v>424.27440000000144</v>
      </c>
      <c r="L124">
        <f>'FOB Data'!I136</f>
        <v>2.1428000000000074</v>
      </c>
      <c r="N124">
        <f>'FOB Data'!K136</f>
        <v>198</v>
      </c>
      <c r="O124">
        <f t="shared" si="25"/>
        <v>475.2</v>
      </c>
      <c r="P124">
        <f>'FOB Data'!L136</f>
        <v>2.4</v>
      </c>
      <c r="R124">
        <f>'FOB Data'!N136</f>
        <v>198</v>
      </c>
      <c r="S124">
        <f t="shared" si="14"/>
        <v>475.99200000000212</v>
      </c>
      <c r="T124">
        <f>'FOB Data'!O136</f>
        <v>2.4040000000000106</v>
      </c>
      <c r="V124">
        <f>'FOB Data'!Q136</f>
        <v>198</v>
      </c>
      <c r="W124">
        <f t="shared" si="15"/>
        <v>356.40000000000003</v>
      </c>
      <c r="X124">
        <f>'FOB Data'!R136</f>
        <v>1.8</v>
      </c>
      <c r="Z124">
        <f t="shared" si="16"/>
        <v>198</v>
      </c>
      <c r="AA124">
        <f t="shared" si="17"/>
        <v>416.59200000000214</v>
      </c>
      <c r="AB124">
        <f>'FOB Data'!U136</f>
        <v>2.1040000000000108</v>
      </c>
      <c r="AD124">
        <f t="shared" si="18"/>
        <v>198</v>
      </c>
      <c r="AE124">
        <f t="shared" si="19"/>
        <v>554.4</v>
      </c>
      <c r="AF124">
        <f>'FOB Data'!X136</f>
        <v>2.8</v>
      </c>
      <c r="AH124">
        <f t="shared" si="20"/>
        <v>198</v>
      </c>
      <c r="AI124">
        <f t="shared" si="21"/>
        <v>517.96799999999996</v>
      </c>
      <c r="AJ124">
        <f>'FOB Data'!AA136</f>
        <v>2.6159999999999997</v>
      </c>
    </row>
    <row r="125" spans="2:36">
      <c r="B125">
        <f t="shared" si="26"/>
        <v>199</v>
      </c>
      <c r="C125">
        <f t="shared" si="22"/>
        <v>498.29599999999999</v>
      </c>
      <c r="D125">
        <f>'FOB Data'!C137</f>
        <v>2.504</v>
      </c>
      <c r="F125">
        <f t="shared" si="27"/>
        <v>199</v>
      </c>
      <c r="G125">
        <f t="shared" si="23"/>
        <v>497.89800000000218</v>
      </c>
      <c r="H125">
        <f>'FOB Data'!F137</f>
        <v>2.5020000000000109</v>
      </c>
      <c r="J125">
        <f>'FOB Data'!H137</f>
        <v>199</v>
      </c>
      <c r="K125">
        <f t="shared" si="24"/>
        <v>426.13860000000147</v>
      </c>
      <c r="L125">
        <f>'FOB Data'!I137</f>
        <v>2.1414000000000075</v>
      </c>
      <c r="N125">
        <f>'FOB Data'!K137</f>
        <v>199</v>
      </c>
      <c r="O125">
        <f t="shared" si="25"/>
        <v>477.59999999999997</v>
      </c>
      <c r="P125">
        <f>'FOB Data'!L137</f>
        <v>2.4</v>
      </c>
      <c r="R125">
        <f>'FOB Data'!N137</f>
        <v>199</v>
      </c>
      <c r="S125">
        <f t="shared" si="14"/>
        <v>477.99800000000215</v>
      </c>
      <c r="T125">
        <f>'FOB Data'!O137</f>
        <v>2.4020000000000108</v>
      </c>
      <c r="V125">
        <f>'FOB Data'!Q137</f>
        <v>199</v>
      </c>
      <c r="W125">
        <f t="shared" si="15"/>
        <v>358.2</v>
      </c>
      <c r="X125">
        <f>'FOB Data'!R137</f>
        <v>1.8</v>
      </c>
      <c r="Z125">
        <f t="shared" si="16"/>
        <v>199</v>
      </c>
      <c r="AA125">
        <f t="shared" si="17"/>
        <v>418.29800000000216</v>
      </c>
      <c r="AB125">
        <f>'FOB Data'!U137</f>
        <v>2.102000000000011</v>
      </c>
      <c r="AD125">
        <f t="shared" si="18"/>
        <v>199</v>
      </c>
      <c r="AE125">
        <f t="shared" si="19"/>
        <v>557.19999999999993</v>
      </c>
      <c r="AF125">
        <f>'FOB Data'!X137</f>
        <v>2.8</v>
      </c>
      <c r="AH125">
        <f t="shared" si="20"/>
        <v>199</v>
      </c>
      <c r="AI125">
        <f t="shared" si="21"/>
        <v>518.99199999999996</v>
      </c>
      <c r="AJ125">
        <f>'FOB Data'!AA137</f>
        <v>2.6079999999999997</v>
      </c>
    </row>
    <row r="126" spans="2:36">
      <c r="B126">
        <f t="shared" si="26"/>
        <v>200</v>
      </c>
      <c r="C126">
        <f t="shared" si="22"/>
        <v>500</v>
      </c>
      <c r="D126">
        <f>'FOB Data'!C138</f>
        <v>2.5</v>
      </c>
      <c r="F126">
        <f t="shared" si="27"/>
        <v>200</v>
      </c>
      <c r="G126">
        <f t="shared" si="23"/>
        <v>500</v>
      </c>
      <c r="H126">
        <f>'FOB Data'!F138</f>
        <v>2.5</v>
      </c>
      <c r="J126">
        <f>'FOB Data'!H138</f>
        <v>200</v>
      </c>
      <c r="K126">
        <f t="shared" si="24"/>
        <v>428</v>
      </c>
      <c r="L126">
        <f>'FOB Data'!I138</f>
        <v>2.14</v>
      </c>
      <c r="N126">
        <f>'FOB Data'!K138</f>
        <v>200</v>
      </c>
      <c r="O126">
        <f t="shared" si="25"/>
        <v>480</v>
      </c>
      <c r="P126">
        <f>'FOB Data'!L138</f>
        <v>2.4</v>
      </c>
      <c r="R126">
        <f>'FOB Data'!N138</f>
        <v>200</v>
      </c>
      <c r="S126">
        <f t="shared" si="14"/>
        <v>480</v>
      </c>
      <c r="T126">
        <f>'FOB Data'!O138</f>
        <v>2.4</v>
      </c>
      <c r="V126">
        <f>'FOB Data'!Q138</f>
        <v>200</v>
      </c>
      <c r="W126">
        <f t="shared" si="15"/>
        <v>360</v>
      </c>
      <c r="X126">
        <f>'FOB Data'!R138</f>
        <v>1.8</v>
      </c>
      <c r="Z126">
        <f t="shared" si="16"/>
        <v>200</v>
      </c>
      <c r="AA126">
        <f t="shared" si="17"/>
        <v>420</v>
      </c>
      <c r="AB126">
        <f>'FOB Data'!U138</f>
        <v>2.1</v>
      </c>
      <c r="AD126">
        <f t="shared" si="18"/>
        <v>200</v>
      </c>
      <c r="AE126">
        <f t="shared" si="19"/>
        <v>560</v>
      </c>
      <c r="AF126">
        <f>'FOB Data'!X138</f>
        <v>2.8</v>
      </c>
      <c r="AH126">
        <f t="shared" si="20"/>
        <v>200</v>
      </c>
      <c r="AI126">
        <f t="shared" si="21"/>
        <v>519.99999999999989</v>
      </c>
      <c r="AJ126">
        <f>'FOB Data'!AA138</f>
        <v>2.5999999999999996</v>
      </c>
    </row>
    <row r="127" spans="2:36">
      <c r="B127">
        <f t="shared" si="26"/>
        <v>201</v>
      </c>
      <c r="C127">
        <f t="shared" si="22"/>
        <v>502.09800000000007</v>
      </c>
      <c r="D127">
        <f>'FOB Data'!C139</f>
        <v>2.4980000000000002</v>
      </c>
      <c r="F127">
        <f t="shared" si="27"/>
        <v>201</v>
      </c>
      <c r="G127">
        <f t="shared" si="23"/>
        <v>502.5</v>
      </c>
      <c r="H127">
        <f>'FOB Data'!F139</f>
        <v>2.5</v>
      </c>
      <c r="J127">
        <f>'FOB Data'!H139</f>
        <v>201</v>
      </c>
      <c r="K127">
        <f t="shared" si="24"/>
        <v>429.99930000000001</v>
      </c>
      <c r="L127">
        <f>'FOB Data'!I139</f>
        <v>2.1393</v>
      </c>
      <c r="N127">
        <f>'FOB Data'!K139</f>
        <v>201</v>
      </c>
      <c r="O127">
        <f t="shared" si="25"/>
        <v>482.4</v>
      </c>
      <c r="P127">
        <f>'FOB Data'!L139</f>
        <v>2.4</v>
      </c>
      <c r="R127">
        <f>'FOB Data'!N139</f>
        <v>201</v>
      </c>
      <c r="S127">
        <f t="shared" si="14"/>
        <v>482.4</v>
      </c>
      <c r="T127">
        <f>'FOB Data'!O139</f>
        <v>2.4</v>
      </c>
      <c r="V127">
        <f>'FOB Data'!Q139</f>
        <v>201</v>
      </c>
      <c r="W127">
        <f t="shared" si="15"/>
        <v>361.8</v>
      </c>
      <c r="X127">
        <f>'FOB Data'!R139</f>
        <v>1.8</v>
      </c>
      <c r="Z127">
        <f t="shared" si="16"/>
        <v>201</v>
      </c>
      <c r="AA127">
        <f t="shared" si="17"/>
        <v>422.1</v>
      </c>
      <c r="AB127">
        <f>'FOB Data'!U139</f>
        <v>2.1</v>
      </c>
      <c r="AD127">
        <f t="shared" si="18"/>
        <v>201</v>
      </c>
      <c r="AE127">
        <f t="shared" si="19"/>
        <v>562.79999999999995</v>
      </c>
      <c r="AF127">
        <f>'FOB Data'!X139</f>
        <v>2.8</v>
      </c>
      <c r="AH127">
        <f t="shared" si="20"/>
        <v>201</v>
      </c>
      <c r="AI127">
        <f t="shared" si="21"/>
        <v>522.19799999999998</v>
      </c>
      <c r="AJ127">
        <f>'FOB Data'!AA139</f>
        <v>2.5979999999999999</v>
      </c>
    </row>
    <row r="128" spans="2:36">
      <c r="B128">
        <f t="shared" si="26"/>
        <v>202</v>
      </c>
      <c r="C128">
        <f t="shared" si="22"/>
        <v>504.19200000000006</v>
      </c>
      <c r="D128">
        <f>'FOB Data'!C140</f>
        <v>2.4960000000000004</v>
      </c>
      <c r="F128">
        <f t="shared" si="27"/>
        <v>202</v>
      </c>
      <c r="G128">
        <f t="shared" si="23"/>
        <v>505</v>
      </c>
      <c r="H128">
        <f>'FOB Data'!F140</f>
        <v>2.5</v>
      </c>
      <c r="J128">
        <f>'FOB Data'!H140</f>
        <v>202</v>
      </c>
      <c r="K128">
        <f t="shared" si="24"/>
        <v>431.99719999999996</v>
      </c>
      <c r="L128">
        <f>'FOB Data'!I140</f>
        <v>2.1385999999999998</v>
      </c>
      <c r="N128">
        <f>'FOB Data'!K140</f>
        <v>202</v>
      </c>
      <c r="O128">
        <f t="shared" si="25"/>
        <v>484.79999999999995</v>
      </c>
      <c r="P128">
        <f>'FOB Data'!L140</f>
        <v>2.4</v>
      </c>
      <c r="R128">
        <f>'FOB Data'!N140</f>
        <v>202</v>
      </c>
      <c r="S128">
        <f t="shared" si="14"/>
        <v>484.79999999999995</v>
      </c>
      <c r="T128">
        <f>'FOB Data'!O140</f>
        <v>2.4</v>
      </c>
      <c r="V128">
        <f>'FOB Data'!Q140</f>
        <v>202</v>
      </c>
      <c r="W128">
        <f t="shared" si="15"/>
        <v>363.6</v>
      </c>
      <c r="X128">
        <f>'FOB Data'!R140</f>
        <v>1.8</v>
      </c>
      <c r="Z128">
        <f t="shared" si="16"/>
        <v>202</v>
      </c>
      <c r="AA128">
        <f t="shared" si="17"/>
        <v>424.20000000000005</v>
      </c>
      <c r="AB128">
        <f>'FOB Data'!U140</f>
        <v>2.1</v>
      </c>
      <c r="AD128">
        <f t="shared" si="18"/>
        <v>202</v>
      </c>
      <c r="AE128">
        <f t="shared" si="19"/>
        <v>565.59999999999991</v>
      </c>
      <c r="AF128">
        <f>'FOB Data'!X140</f>
        <v>2.8</v>
      </c>
      <c r="AH128">
        <f t="shared" si="20"/>
        <v>202</v>
      </c>
      <c r="AI128">
        <f t="shared" si="21"/>
        <v>524.39200000000005</v>
      </c>
      <c r="AJ128">
        <f>'FOB Data'!AA140</f>
        <v>2.5960000000000001</v>
      </c>
    </row>
    <row r="129" spans="2:36">
      <c r="B129">
        <f t="shared" si="26"/>
        <v>203</v>
      </c>
      <c r="C129">
        <f t="shared" si="22"/>
        <v>506.28200000000015</v>
      </c>
      <c r="D129">
        <f>'FOB Data'!C141</f>
        <v>2.4940000000000007</v>
      </c>
      <c r="F129">
        <f t="shared" si="27"/>
        <v>203</v>
      </c>
      <c r="G129">
        <f t="shared" si="23"/>
        <v>507.5</v>
      </c>
      <c r="H129">
        <f>'FOB Data'!F141</f>
        <v>2.5</v>
      </c>
      <c r="J129">
        <f>'FOB Data'!H141</f>
        <v>203</v>
      </c>
      <c r="K129">
        <f t="shared" si="24"/>
        <v>433.99369999999993</v>
      </c>
      <c r="L129">
        <f>'FOB Data'!I141</f>
        <v>2.1378999999999997</v>
      </c>
      <c r="N129">
        <f>'FOB Data'!K141</f>
        <v>203</v>
      </c>
      <c r="O129">
        <f t="shared" si="25"/>
        <v>487.2</v>
      </c>
      <c r="P129">
        <f>'FOB Data'!L141</f>
        <v>2.4</v>
      </c>
      <c r="R129">
        <f>'FOB Data'!N141</f>
        <v>203</v>
      </c>
      <c r="S129">
        <f t="shared" si="14"/>
        <v>487.2</v>
      </c>
      <c r="T129">
        <f>'FOB Data'!O141</f>
        <v>2.4</v>
      </c>
      <c r="V129">
        <f>'FOB Data'!Q141</f>
        <v>203</v>
      </c>
      <c r="W129">
        <f t="shared" si="15"/>
        <v>365.40000000000003</v>
      </c>
      <c r="X129">
        <f>'FOB Data'!R141</f>
        <v>1.8</v>
      </c>
      <c r="Z129">
        <f t="shared" si="16"/>
        <v>203</v>
      </c>
      <c r="AA129">
        <f t="shared" si="17"/>
        <v>426.3</v>
      </c>
      <c r="AB129">
        <f>'FOB Data'!U141</f>
        <v>2.1</v>
      </c>
      <c r="AD129">
        <f t="shared" si="18"/>
        <v>203</v>
      </c>
      <c r="AE129">
        <f t="shared" si="19"/>
        <v>568.4</v>
      </c>
      <c r="AF129">
        <f>'FOB Data'!X141</f>
        <v>2.8</v>
      </c>
      <c r="AH129">
        <f t="shared" si="20"/>
        <v>203</v>
      </c>
      <c r="AI129">
        <f t="shared" si="21"/>
        <v>526.58200000000011</v>
      </c>
      <c r="AJ129">
        <f>'FOB Data'!AA141</f>
        <v>2.5940000000000003</v>
      </c>
    </row>
    <row r="130" spans="2:36">
      <c r="B130">
        <f t="shared" si="26"/>
        <v>204</v>
      </c>
      <c r="C130">
        <f t="shared" si="22"/>
        <v>508.36800000000017</v>
      </c>
      <c r="D130">
        <f>'FOB Data'!C142</f>
        <v>2.4920000000000009</v>
      </c>
      <c r="F130">
        <f t="shared" si="27"/>
        <v>204</v>
      </c>
      <c r="G130">
        <f t="shared" si="23"/>
        <v>510</v>
      </c>
      <c r="H130">
        <f>'FOB Data'!F142</f>
        <v>2.5</v>
      </c>
      <c r="J130">
        <f>'FOB Data'!H142</f>
        <v>204</v>
      </c>
      <c r="K130">
        <f t="shared" si="24"/>
        <v>435.98879999999991</v>
      </c>
      <c r="L130">
        <f>'FOB Data'!I142</f>
        <v>2.1371999999999995</v>
      </c>
      <c r="N130">
        <f>'FOB Data'!K142</f>
        <v>204</v>
      </c>
      <c r="O130">
        <f t="shared" si="25"/>
        <v>489.59999999999997</v>
      </c>
      <c r="P130">
        <f>'FOB Data'!L142</f>
        <v>2.4</v>
      </c>
      <c r="R130">
        <f>'FOB Data'!N142</f>
        <v>204</v>
      </c>
      <c r="S130">
        <f t="shared" si="14"/>
        <v>489.59999999999997</v>
      </c>
      <c r="T130">
        <f>'FOB Data'!O142</f>
        <v>2.4</v>
      </c>
      <c r="V130">
        <f>'FOB Data'!Q142</f>
        <v>204</v>
      </c>
      <c r="W130">
        <f t="shared" si="15"/>
        <v>367.2</v>
      </c>
      <c r="X130">
        <f>'FOB Data'!R142</f>
        <v>1.8</v>
      </c>
      <c r="Z130">
        <f t="shared" si="16"/>
        <v>204</v>
      </c>
      <c r="AA130">
        <f t="shared" si="17"/>
        <v>428.40000000000003</v>
      </c>
      <c r="AB130">
        <f>'FOB Data'!U142</f>
        <v>2.1</v>
      </c>
      <c r="AD130">
        <f t="shared" si="18"/>
        <v>204</v>
      </c>
      <c r="AE130">
        <f t="shared" si="19"/>
        <v>571.19999999999993</v>
      </c>
      <c r="AF130">
        <f>'FOB Data'!X142</f>
        <v>2.8</v>
      </c>
      <c r="AH130">
        <f t="shared" si="20"/>
        <v>204</v>
      </c>
      <c r="AI130">
        <f t="shared" si="21"/>
        <v>528.76800000000014</v>
      </c>
      <c r="AJ130">
        <f>'FOB Data'!AA142</f>
        <v>2.5920000000000005</v>
      </c>
    </row>
    <row r="131" spans="2:36">
      <c r="B131">
        <f t="shared" si="26"/>
        <v>205</v>
      </c>
      <c r="C131">
        <f t="shared" si="22"/>
        <v>510.45000000000022</v>
      </c>
      <c r="D131">
        <f>'FOB Data'!C143</f>
        <v>2.4900000000000011</v>
      </c>
      <c r="F131">
        <f t="shared" si="27"/>
        <v>205</v>
      </c>
      <c r="G131">
        <f t="shared" si="23"/>
        <v>512.5</v>
      </c>
      <c r="H131">
        <f>'FOB Data'!F143</f>
        <v>2.5</v>
      </c>
      <c r="J131">
        <f>'FOB Data'!H143</f>
        <v>205</v>
      </c>
      <c r="K131">
        <f t="shared" si="24"/>
        <v>437.9824999999999</v>
      </c>
      <c r="L131">
        <f>'FOB Data'!I143</f>
        <v>2.1364999999999994</v>
      </c>
      <c r="N131">
        <f>'FOB Data'!K143</f>
        <v>205</v>
      </c>
      <c r="O131">
        <f t="shared" si="25"/>
        <v>492</v>
      </c>
      <c r="P131">
        <f>'FOB Data'!L143</f>
        <v>2.4</v>
      </c>
      <c r="R131">
        <f>'FOB Data'!N143</f>
        <v>205</v>
      </c>
      <c r="S131">
        <f t="shared" si="14"/>
        <v>492</v>
      </c>
      <c r="T131">
        <f>'FOB Data'!O143</f>
        <v>2.4</v>
      </c>
      <c r="V131">
        <f>'FOB Data'!Q143</f>
        <v>205</v>
      </c>
      <c r="W131">
        <f t="shared" si="15"/>
        <v>369</v>
      </c>
      <c r="X131">
        <f>'FOB Data'!R143</f>
        <v>1.8</v>
      </c>
      <c r="Z131">
        <f t="shared" si="16"/>
        <v>205</v>
      </c>
      <c r="AA131">
        <f t="shared" si="17"/>
        <v>430.5</v>
      </c>
      <c r="AB131">
        <f>'FOB Data'!U143</f>
        <v>2.1</v>
      </c>
      <c r="AD131">
        <f t="shared" si="18"/>
        <v>205</v>
      </c>
      <c r="AE131">
        <f t="shared" si="19"/>
        <v>574</v>
      </c>
      <c r="AF131">
        <f>'FOB Data'!X143</f>
        <v>2.8</v>
      </c>
      <c r="AH131">
        <f t="shared" si="20"/>
        <v>205</v>
      </c>
      <c r="AI131">
        <f t="shared" si="21"/>
        <v>530.95000000000016</v>
      </c>
      <c r="AJ131">
        <f>'FOB Data'!AA143</f>
        <v>2.5900000000000007</v>
      </c>
    </row>
    <row r="132" spans="2:36">
      <c r="B132">
        <f t="shared" si="26"/>
        <v>206</v>
      </c>
      <c r="C132">
        <f t="shared" si="22"/>
        <v>512.52800000000025</v>
      </c>
      <c r="D132">
        <f>'FOB Data'!C144</f>
        <v>2.4880000000000013</v>
      </c>
      <c r="F132">
        <f t="shared" si="27"/>
        <v>206</v>
      </c>
      <c r="G132">
        <f t="shared" si="23"/>
        <v>515</v>
      </c>
      <c r="H132">
        <f>'FOB Data'!F144</f>
        <v>2.5</v>
      </c>
      <c r="J132">
        <f>'FOB Data'!H144</f>
        <v>206</v>
      </c>
      <c r="K132">
        <f t="shared" si="24"/>
        <v>439.97479999999985</v>
      </c>
      <c r="L132">
        <f>'FOB Data'!I144</f>
        <v>2.1357999999999993</v>
      </c>
      <c r="N132">
        <f>'FOB Data'!K144</f>
        <v>206</v>
      </c>
      <c r="O132">
        <f t="shared" si="25"/>
        <v>494.4</v>
      </c>
      <c r="P132">
        <f>'FOB Data'!L144</f>
        <v>2.4</v>
      </c>
      <c r="R132">
        <f>'FOB Data'!N144</f>
        <v>206</v>
      </c>
      <c r="S132">
        <f t="shared" si="14"/>
        <v>494.4</v>
      </c>
      <c r="T132">
        <f>'FOB Data'!O144</f>
        <v>2.4</v>
      </c>
      <c r="V132">
        <f>'FOB Data'!Q144</f>
        <v>206</v>
      </c>
      <c r="W132">
        <f t="shared" si="15"/>
        <v>370.8</v>
      </c>
      <c r="X132">
        <f>'FOB Data'!R144</f>
        <v>1.8</v>
      </c>
      <c r="Z132">
        <f t="shared" si="16"/>
        <v>206</v>
      </c>
      <c r="AA132">
        <f t="shared" si="17"/>
        <v>432.6</v>
      </c>
      <c r="AB132">
        <f>'FOB Data'!U144</f>
        <v>2.1</v>
      </c>
      <c r="AD132">
        <f t="shared" si="18"/>
        <v>206</v>
      </c>
      <c r="AE132">
        <f t="shared" si="19"/>
        <v>576.79999999999995</v>
      </c>
      <c r="AF132">
        <f>'FOB Data'!X144</f>
        <v>2.8</v>
      </c>
      <c r="AH132">
        <f t="shared" si="20"/>
        <v>206</v>
      </c>
      <c r="AI132">
        <f t="shared" si="21"/>
        <v>533.12800000000016</v>
      </c>
      <c r="AJ132">
        <f>'FOB Data'!AA144</f>
        <v>2.588000000000001</v>
      </c>
    </row>
    <row r="133" spans="2:36">
      <c r="B133">
        <f t="shared" si="26"/>
        <v>207</v>
      </c>
      <c r="C133">
        <f t="shared" si="22"/>
        <v>514.60200000000032</v>
      </c>
      <c r="D133">
        <f>'FOB Data'!C145</f>
        <v>2.4860000000000015</v>
      </c>
      <c r="F133">
        <f t="shared" si="27"/>
        <v>207</v>
      </c>
      <c r="G133">
        <f t="shared" si="23"/>
        <v>517.5</v>
      </c>
      <c r="H133">
        <f>'FOB Data'!F145</f>
        <v>2.5</v>
      </c>
      <c r="J133">
        <f>'FOB Data'!H145</f>
        <v>207</v>
      </c>
      <c r="K133">
        <f t="shared" si="24"/>
        <v>441.9656999999998</v>
      </c>
      <c r="L133">
        <f>'FOB Data'!I145</f>
        <v>2.1350999999999991</v>
      </c>
      <c r="N133">
        <f>'FOB Data'!K145</f>
        <v>207</v>
      </c>
      <c r="O133">
        <f t="shared" si="25"/>
        <v>496.79999999999995</v>
      </c>
      <c r="P133">
        <f>'FOB Data'!L145</f>
        <v>2.4</v>
      </c>
      <c r="R133">
        <f>'FOB Data'!N145</f>
        <v>207</v>
      </c>
      <c r="S133">
        <f t="shared" si="14"/>
        <v>496.79999999999995</v>
      </c>
      <c r="T133">
        <f>'FOB Data'!O145</f>
        <v>2.4</v>
      </c>
      <c r="V133">
        <f>'FOB Data'!Q145</f>
        <v>207</v>
      </c>
      <c r="W133">
        <f t="shared" si="15"/>
        <v>372.6</v>
      </c>
      <c r="X133">
        <f>'FOB Data'!R145</f>
        <v>1.8</v>
      </c>
      <c r="Z133">
        <f t="shared" si="16"/>
        <v>207</v>
      </c>
      <c r="AA133">
        <f t="shared" si="17"/>
        <v>434.70000000000005</v>
      </c>
      <c r="AB133">
        <f>'FOB Data'!U145</f>
        <v>2.1</v>
      </c>
      <c r="AD133">
        <f t="shared" si="18"/>
        <v>207</v>
      </c>
      <c r="AE133">
        <f t="shared" si="19"/>
        <v>579.59999999999991</v>
      </c>
      <c r="AF133">
        <f>'FOB Data'!X145</f>
        <v>2.8</v>
      </c>
      <c r="AH133">
        <f t="shared" si="20"/>
        <v>207</v>
      </c>
      <c r="AI133">
        <f t="shared" si="21"/>
        <v>535.30200000000025</v>
      </c>
      <c r="AJ133">
        <f>'FOB Data'!AA145</f>
        <v>2.5860000000000012</v>
      </c>
    </row>
    <row r="134" spans="2:36">
      <c r="B134">
        <f t="shared" si="26"/>
        <v>208</v>
      </c>
      <c r="C134">
        <f t="shared" si="22"/>
        <v>516.67200000000037</v>
      </c>
      <c r="D134">
        <f>'FOB Data'!C146</f>
        <v>2.4840000000000018</v>
      </c>
      <c r="F134">
        <f t="shared" si="27"/>
        <v>208</v>
      </c>
      <c r="G134">
        <f t="shared" si="23"/>
        <v>520</v>
      </c>
      <c r="H134">
        <f>'FOB Data'!F146</f>
        <v>2.5</v>
      </c>
      <c r="J134">
        <f>'FOB Data'!H146</f>
        <v>208</v>
      </c>
      <c r="K134">
        <f t="shared" si="24"/>
        <v>443.95519999999976</v>
      </c>
      <c r="L134">
        <f>'FOB Data'!I146</f>
        <v>2.134399999999999</v>
      </c>
      <c r="N134">
        <f>'FOB Data'!K146</f>
        <v>208</v>
      </c>
      <c r="O134">
        <f t="shared" si="25"/>
        <v>499.2</v>
      </c>
      <c r="P134">
        <f>'FOB Data'!L146</f>
        <v>2.4</v>
      </c>
      <c r="R134">
        <f>'FOB Data'!N146</f>
        <v>208</v>
      </c>
      <c r="S134">
        <f t="shared" ref="S134:S197" si="28">R134*T134</f>
        <v>499.2</v>
      </c>
      <c r="T134">
        <f>'FOB Data'!O146</f>
        <v>2.4</v>
      </c>
      <c r="V134">
        <f>'FOB Data'!Q146</f>
        <v>208</v>
      </c>
      <c r="W134">
        <f t="shared" ref="W134:W197" si="29">V134*X134</f>
        <v>374.40000000000003</v>
      </c>
      <c r="X134">
        <f>'FOB Data'!R146</f>
        <v>1.8</v>
      </c>
      <c r="Z134">
        <f t="shared" ref="Z134:Z197" si="30">V134</f>
        <v>208</v>
      </c>
      <c r="AA134">
        <f t="shared" ref="AA134:AA197" si="31">Z134*AB134</f>
        <v>436.8</v>
      </c>
      <c r="AB134">
        <f>'FOB Data'!U146</f>
        <v>2.1</v>
      </c>
      <c r="AD134">
        <f t="shared" ref="AD134:AD197" si="32">Z134</f>
        <v>208</v>
      </c>
      <c r="AE134">
        <f t="shared" ref="AE134:AE197" si="33">AD134*AF134</f>
        <v>582.4</v>
      </c>
      <c r="AF134">
        <f>'FOB Data'!X146</f>
        <v>2.8</v>
      </c>
      <c r="AH134">
        <f t="shared" ref="AH134:AH197" si="34">AD134</f>
        <v>208</v>
      </c>
      <c r="AI134">
        <f t="shared" ref="AI134:AI197" si="35">AH134*AJ134</f>
        <v>537.47200000000032</v>
      </c>
      <c r="AJ134">
        <f>'FOB Data'!AA146</f>
        <v>2.5840000000000014</v>
      </c>
    </row>
    <row r="135" spans="2:36">
      <c r="B135">
        <f t="shared" si="26"/>
        <v>209</v>
      </c>
      <c r="C135">
        <f t="shared" ref="C135:C198" si="36">B135*D135</f>
        <v>518.7380000000004</v>
      </c>
      <c r="D135">
        <f>'FOB Data'!C147</f>
        <v>2.482000000000002</v>
      </c>
      <c r="F135">
        <f t="shared" si="27"/>
        <v>209</v>
      </c>
      <c r="G135">
        <f t="shared" ref="G135:G198" si="37">F135*H135</f>
        <v>522.5</v>
      </c>
      <c r="H135">
        <f>'FOB Data'!F147</f>
        <v>2.5</v>
      </c>
      <c r="J135">
        <f>'FOB Data'!H147</f>
        <v>209</v>
      </c>
      <c r="K135">
        <f t="shared" ref="K135:K198" si="38">J135*L135</f>
        <v>445.94329999999974</v>
      </c>
      <c r="L135">
        <f>'FOB Data'!I147</f>
        <v>2.1336999999999988</v>
      </c>
      <c r="N135">
        <f>'FOB Data'!K147</f>
        <v>209</v>
      </c>
      <c r="O135">
        <f t="shared" ref="O135:O198" si="39">N135*P135</f>
        <v>501.59999999999997</v>
      </c>
      <c r="P135">
        <f>'FOB Data'!L147</f>
        <v>2.4</v>
      </c>
      <c r="R135">
        <f>'FOB Data'!N147</f>
        <v>209</v>
      </c>
      <c r="S135">
        <f t="shared" si="28"/>
        <v>501.59999999999997</v>
      </c>
      <c r="T135">
        <f>'FOB Data'!O147</f>
        <v>2.4</v>
      </c>
      <c r="V135">
        <f>'FOB Data'!Q147</f>
        <v>209</v>
      </c>
      <c r="W135">
        <f t="shared" si="29"/>
        <v>376.2</v>
      </c>
      <c r="X135">
        <f>'FOB Data'!R147</f>
        <v>1.8</v>
      </c>
      <c r="Z135">
        <f t="shared" si="30"/>
        <v>209</v>
      </c>
      <c r="AA135">
        <f t="shared" si="31"/>
        <v>438.90000000000003</v>
      </c>
      <c r="AB135">
        <f>'FOB Data'!U147</f>
        <v>2.1</v>
      </c>
      <c r="AD135">
        <f t="shared" si="32"/>
        <v>209</v>
      </c>
      <c r="AE135">
        <f t="shared" si="33"/>
        <v>585.19999999999993</v>
      </c>
      <c r="AF135">
        <f>'FOB Data'!X147</f>
        <v>2.8</v>
      </c>
      <c r="AH135">
        <f t="shared" si="34"/>
        <v>209</v>
      </c>
      <c r="AI135">
        <f t="shared" si="35"/>
        <v>539.63800000000037</v>
      </c>
      <c r="AJ135">
        <f>'FOB Data'!AA147</f>
        <v>2.5820000000000016</v>
      </c>
    </row>
    <row r="136" spans="2:36">
      <c r="B136">
        <f t="shared" ref="B136:B199" si="40">B135+1</f>
        <v>210</v>
      </c>
      <c r="C136">
        <f t="shared" si="36"/>
        <v>520.80000000000041</v>
      </c>
      <c r="D136">
        <f>'FOB Data'!C148</f>
        <v>2.4800000000000022</v>
      </c>
      <c r="F136">
        <f t="shared" ref="F136:F199" si="41">F135+1</f>
        <v>210</v>
      </c>
      <c r="G136">
        <f t="shared" si="37"/>
        <v>525</v>
      </c>
      <c r="H136">
        <f>'FOB Data'!F148</f>
        <v>2.5</v>
      </c>
      <c r="J136">
        <f>'FOB Data'!H148</f>
        <v>210</v>
      </c>
      <c r="K136">
        <f t="shared" si="38"/>
        <v>447.92999999999972</v>
      </c>
      <c r="L136">
        <f>'FOB Data'!I148</f>
        <v>2.1329999999999987</v>
      </c>
      <c r="N136">
        <f>'FOB Data'!K148</f>
        <v>210</v>
      </c>
      <c r="O136">
        <f t="shared" si="39"/>
        <v>504</v>
      </c>
      <c r="P136">
        <f>'FOB Data'!L148</f>
        <v>2.4</v>
      </c>
      <c r="R136">
        <f>'FOB Data'!N148</f>
        <v>210</v>
      </c>
      <c r="S136">
        <f t="shared" si="28"/>
        <v>504</v>
      </c>
      <c r="T136">
        <f>'FOB Data'!O148</f>
        <v>2.4</v>
      </c>
      <c r="V136">
        <f>'FOB Data'!Q148</f>
        <v>210</v>
      </c>
      <c r="W136">
        <f t="shared" si="29"/>
        <v>378</v>
      </c>
      <c r="X136">
        <f>'FOB Data'!R148</f>
        <v>1.8</v>
      </c>
      <c r="Z136">
        <f t="shared" si="30"/>
        <v>210</v>
      </c>
      <c r="AA136">
        <f t="shared" si="31"/>
        <v>441</v>
      </c>
      <c r="AB136">
        <f>'FOB Data'!U148</f>
        <v>2.1</v>
      </c>
      <c r="AD136">
        <f t="shared" si="32"/>
        <v>210</v>
      </c>
      <c r="AE136">
        <f t="shared" si="33"/>
        <v>588</v>
      </c>
      <c r="AF136">
        <f>'FOB Data'!X148</f>
        <v>2.8</v>
      </c>
      <c r="AH136">
        <f t="shared" si="34"/>
        <v>210</v>
      </c>
      <c r="AI136">
        <f t="shared" si="35"/>
        <v>541.80000000000041</v>
      </c>
      <c r="AJ136">
        <f>'FOB Data'!AA148</f>
        <v>2.5800000000000018</v>
      </c>
    </row>
    <row r="137" spans="2:36">
      <c r="B137">
        <f t="shared" si="40"/>
        <v>211</v>
      </c>
      <c r="C137">
        <f t="shared" si="36"/>
        <v>522.85800000000052</v>
      </c>
      <c r="D137">
        <f>'FOB Data'!C149</f>
        <v>2.4780000000000024</v>
      </c>
      <c r="F137">
        <f t="shared" si="41"/>
        <v>211</v>
      </c>
      <c r="G137">
        <f t="shared" si="37"/>
        <v>527.5</v>
      </c>
      <c r="H137">
        <f>'FOB Data'!F149</f>
        <v>2.5</v>
      </c>
      <c r="J137">
        <f>'FOB Data'!H149</f>
        <v>211</v>
      </c>
      <c r="K137">
        <f t="shared" si="38"/>
        <v>449.91529999999972</v>
      </c>
      <c r="L137">
        <f>'FOB Data'!I149</f>
        <v>2.1322999999999985</v>
      </c>
      <c r="N137">
        <f>'FOB Data'!K149</f>
        <v>211</v>
      </c>
      <c r="O137">
        <f t="shared" si="39"/>
        <v>506.4</v>
      </c>
      <c r="P137">
        <f>'FOB Data'!L149</f>
        <v>2.4</v>
      </c>
      <c r="R137">
        <f>'FOB Data'!N149</f>
        <v>211</v>
      </c>
      <c r="S137">
        <f t="shared" si="28"/>
        <v>506.4</v>
      </c>
      <c r="T137">
        <f>'FOB Data'!O149</f>
        <v>2.4</v>
      </c>
      <c r="V137">
        <f>'FOB Data'!Q149</f>
        <v>211</v>
      </c>
      <c r="W137">
        <f t="shared" si="29"/>
        <v>379.8</v>
      </c>
      <c r="X137">
        <f>'FOB Data'!R149</f>
        <v>1.8</v>
      </c>
      <c r="Z137">
        <f t="shared" si="30"/>
        <v>211</v>
      </c>
      <c r="AA137">
        <f t="shared" si="31"/>
        <v>443.1</v>
      </c>
      <c r="AB137">
        <f>'FOB Data'!U149</f>
        <v>2.1</v>
      </c>
      <c r="AD137">
        <f t="shared" si="32"/>
        <v>211</v>
      </c>
      <c r="AE137">
        <f t="shared" si="33"/>
        <v>590.79999999999995</v>
      </c>
      <c r="AF137">
        <f>'FOB Data'!X149</f>
        <v>2.8</v>
      </c>
      <c r="AH137">
        <f t="shared" si="34"/>
        <v>211</v>
      </c>
      <c r="AI137">
        <f t="shared" si="35"/>
        <v>543.95800000000042</v>
      </c>
      <c r="AJ137">
        <f>'FOB Data'!AA149</f>
        <v>2.5780000000000021</v>
      </c>
    </row>
    <row r="138" spans="2:36">
      <c r="B138">
        <f t="shared" si="40"/>
        <v>212</v>
      </c>
      <c r="C138">
        <f t="shared" si="36"/>
        <v>524.9120000000006</v>
      </c>
      <c r="D138">
        <f>'FOB Data'!C150</f>
        <v>2.4760000000000026</v>
      </c>
      <c r="F138">
        <f t="shared" si="41"/>
        <v>212</v>
      </c>
      <c r="G138">
        <f t="shared" si="37"/>
        <v>530</v>
      </c>
      <c r="H138">
        <f>'FOB Data'!F150</f>
        <v>2.5</v>
      </c>
      <c r="J138">
        <f>'FOB Data'!H150</f>
        <v>212</v>
      </c>
      <c r="K138">
        <f t="shared" si="38"/>
        <v>451.89919999999967</v>
      </c>
      <c r="L138">
        <f>'FOB Data'!I150</f>
        <v>2.1315999999999984</v>
      </c>
      <c r="N138">
        <f>'FOB Data'!K150</f>
        <v>212</v>
      </c>
      <c r="O138">
        <f t="shared" si="39"/>
        <v>508.79999999999995</v>
      </c>
      <c r="P138">
        <f>'FOB Data'!L150</f>
        <v>2.4</v>
      </c>
      <c r="R138">
        <f>'FOB Data'!N150</f>
        <v>212</v>
      </c>
      <c r="S138">
        <f t="shared" si="28"/>
        <v>508.79999999999995</v>
      </c>
      <c r="T138">
        <f>'FOB Data'!O150</f>
        <v>2.4</v>
      </c>
      <c r="V138">
        <f>'FOB Data'!Q150</f>
        <v>212</v>
      </c>
      <c r="W138">
        <f t="shared" si="29"/>
        <v>381.6</v>
      </c>
      <c r="X138">
        <f>'FOB Data'!R150</f>
        <v>1.8</v>
      </c>
      <c r="Z138">
        <f t="shared" si="30"/>
        <v>212</v>
      </c>
      <c r="AA138">
        <f t="shared" si="31"/>
        <v>445.20000000000005</v>
      </c>
      <c r="AB138">
        <f>'FOB Data'!U150</f>
        <v>2.1</v>
      </c>
      <c r="AD138">
        <f t="shared" si="32"/>
        <v>212</v>
      </c>
      <c r="AE138">
        <f t="shared" si="33"/>
        <v>593.59999999999991</v>
      </c>
      <c r="AF138">
        <f>'FOB Data'!X150</f>
        <v>2.8</v>
      </c>
      <c r="AH138">
        <f t="shared" si="34"/>
        <v>212</v>
      </c>
      <c r="AI138">
        <f t="shared" si="35"/>
        <v>546.11200000000053</v>
      </c>
      <c r="AJ138">
        <f>'FOB Data'!AA150</f>
        <v>2.5760000000000023</v>
      </c>
    </row>
    <row r="139" spans="2:36">
      <c r="B139">
        <f t="shared" si="40"/>
        <v>213</v>
      </c>
      <c r="C139">
        <f t="shared" si="36"/>
        <v>526.96200000000056</v>
      </c>
      <c r="D139">
        <f>'FOB Data'!C151</f>
        <v>2.4740000000000029</v>
      </c>
      <c r="F139">
        <f t="shared" si="41"/>
        <v>213</v>
      </c>
      <c r="G139">
        <f t="shared" si="37"/>
        <v>532.5</v>
      </c>
      <c r="H139">
        <f>'FOB Data'!F151</f>
        <v>2.5</v>
      </c>
      <c r="J139">
        <f>'FOB Data'!H151</f>
        <v>213</v>
      </c>
      <c r="K139">
        <f t="shared" si="38"/>
        <v>453.88169999999963</v>
      </c>
      <c r="L139">
        <f>'FOB Data'!I151</f>
        <v>2.1308999999999982</v>
      </c>
      <c r="N139">
        <f>'FOB Data'!K151</f>
        <v>213</v>
      </c>
      <c r="O139">
        <f t="shared" si="39"/>
        <v>511.2</v>
      </c>
      <c r="P139">
        <f>'FOB Data'!L151</f>
        <v>2.4</v>
      </c>
      <c r="R139">
        <f>'FOB Data'!N151</f>
        <v>213</v>
      </c>
      <c r="S139">
        <f t="shared" si="28"/>
        <v>511.2</v>
      </c>
      <c r="T139">
        <f>'FOB Data'!O151</f>
        <v>2.4</v>
      </c>
      <c r="V139">
        <f>'FOB Data'!Q151</f>
        <v>213</v>
      </c>
      <c r="W139">
        <f t="shared" si="29"/>
        <v>383.40000000000003</v>
      </c>
      <c r="X139">
        <f>'FOB Data'!R151</f>
        <v>1.8</v>
      </c>
      <c r="Z139">
        <f t="shared" si="30"/>
        <v>213</v>
      </c>
      <c r="AA139">
        <f t="shared" si="31"/>
        <v>447.3</v>
      </c>
      <c r="AB139">
        <f>'FOB Data'!U151</f>
        <v>2.1</v>
      </c>
      <c r="AD139">
        <f t="shared" si="32"/>
        <v>213</v>
      </c>
      <c r="AE139">
        <f t="shared" si="33"/>
        <v>596.4</v>
      </c>
      <c r="AF139">
        <f>'FOB Data'!X151</f>
        <v>2.8</v>
      </c>
      <c r="AH139">
        <f t="shared" si="34"/>
        <v>213</v>
      </c>
      <c r="AI139">
        <f t="shared" si="35"/>
        <v>548.26200000000051</v>
      </c>
      <c r="AJ139">
        <f>'FOB Data'!AA151</f>
        <v>2.5740000000000025</v>
      </c>
    </row>
    <row r="140" spans="2:36">
      <c r="B140">
        <f t="shared" si="40"/>
        <v>214</v>
      </c>
      <c r="C140">
        <f t="shared" si="36"/>
        <v>529.00800000000061</v>
      </c>
      <c r="D140">
        <f>'FOB Data'!C152</f>
        <v>2.4720000000000031</v>
      </c>
      <c r="F140">
        <f t="shared" si="41"/>
        <v>214</v>
      </c>
      <c r="G140">
        <f t="shared" si="37"/>
        <v>535</v>
      </c>
      <c r="H140">
        <f>'FOB Data'!F152</f>
        <v>2.5</v>
      </c>
      <c r="J140">
        <f>'FOB Data'!H152</f>
        <v>214</v>
      </c>
      <c r="K140">
        <f t="shared" si="38"/>
        <v>455.8627999999996</v>
      </c>
      <c r="L140">
        <f>'FOB Data'!I152</f>
        <v>2.1301999999999981</v>
      </c>
      <c r="N140">
        <f>'FOB Data'!K152</f>
        <v>214</v>
      </c>
      <c r="O140">
        <f t="shared" si="39"/>
        <v>513.6</v>
      </c>
      <c r="P140">
        <f>'FOB Data'!L152</f>
        <v>2.4</v>
      </c>
      <c r="R140">
        <f>'FOB Data'!N152</f>
        <v>214</v>
      </c>
      <c r="S140">
        <f t="shared" si="28"/>
        <v>513.6</v>
      </c>
      <c r="T140">
        <f>'FOB Data'!O152</f>
        <v>2.4</v>
      </c>
      <c r="V140">
        <f>'FOB Data'!Q152</f>
        <v>214</v>
      </c>
      <c r="W140">
        <f t="shared" si="29"/>
        <v>385.2</v>
      </c>
      <c r="X140">
        <f>'FOB Data'!R152</f>
        <v>1.8</v>
      </c>
      <c r="Z140">
        <f t="shared" si="30"/>
        <v>214</v>
      </c>
      <c r="AA140">
        <f t="shared" si="31"/>
        <v>449.40000000000003</v>
      </c>
      <c r="AB140">
        <f>'FOB Data'!U152</f>
        <v>2.1</v>
      </c>
      <c r="AD140">
        <f t="shared" si="32"/>
        <v>214</v>
      </c>
      <c r="AE140">
        <f t="shared" si="33"/>
        <v>599.19999999999993</v>
      </c>
      <c r="AF140">
        <f>'FOB Data'!X152</f>
        <v>2.8</v>
      </c>
      <c r="AH140">
        <f t="shared" si="34"/>
        <v>214</v>
      </c>
      <c r="AI140">
        <f t="shared" si="35"/>
        <v>550.40800000000058</v>
      </c>
      <c r="AJ140">
        <f>'FOB Data'!AA152</f>
        <v>2.5720000000000027</v>
      </c>
    </row>
    <row r="141" spans="2:36">
      <c r="B141">
        <f t="shared" si="40"/>
        <v>215</v>
      </c>
      <c r="C141">
        <f t="shared" si="36"/>
        <v>531.05000000000075</v>
      </c>
      <c r="D141">
        <f>'FOB Data'!C153</f>
        <v>2.4700000000000033</v>
      </c>
      <c r="F141">
        <f t="shared" si="41"/>
        <v>215</v>
      </c>
      <c r="G141">
        <f t="shared" si="37"/>
        <v>537.5</v>
      </c>
      <c r="H141">
        <f>'FOB Data'!F153</f>
        <v>2.5</v>
      </c>
      <c r="J141">
        <f>'FOB Data'!H153</f>
        <v>215</v>
      </c>
      <c r="K141">
        <f t="shared" si="38"/>
        <v>457.84249999999957</v>
      </c>
      <c r="L141">
        <f>'FOB Data'!I153</f>
        <v>2.129499999999998</v>
      </c>
      <c r="N141">
        <f>'FOB Data'!K153</f>
        <v>215</v>
      </c>
      <c r="O141">
        <f t="shared" si="39"/>
        <v>516</v>
      </c>
      <c r="P141">
        <f>'FOB Data'!L153</f>
        <v>2.4</v>
      </c>
      <c r="R141">
        <f>'FOB Data'!N153</f>
        <v>215</v>
      </c>
      <c r="S141">
        <f t="shared" si="28"/>
        <v>516</v>
      </c>
      <c r="T141">
        <f>'FOB Data'!O153</f>
        <v>2.4</v>
      </c>
      <c r="V141">
        <f>'FOB Data'!Q153</f>
        <v>215</v>
      </c>
      <c r="W141">
        <f t="shared" si="29"/>
        <v>387</v>
      </c>
      <c r="X141">
        <f>'FOB Data'!R153</f>
        <v>1.8</v>
      </c>
      <c r="Z141">
        <f t="shared" si="30"/>
        <v>215</v>
      </c>
      <c r="AA141">
        <f t="shared" si="31"/>
        <v>451.5</v>
      </c>
      <c r="AB141">
        <f>'FOB Data'!U153</f>
        <v>2.1</v>
      </c>
      <c r="AD141">
        <f t="shared" si="32"/>
        <v>215</v>
      </c>
      <c r="AE141">
        <f t="shared" si="33"/>
        <v>602</v>
      </c>
      <c r="AF141">
        <f>'FOB Data'!X153</f>
        <v>2.8</v>
      </c>
      <c r="AH141">
        <f t="shared" si="34"/>
        <v>215</v>
      </c>
      <c r="AI141">
        <f t="shared" si="35"/>
        <v>552.55000000000064</v>
      </c>
      <c r="AJ141">
        <f>'FOB Data'!AA153</f>
        <v>2.5700000000000029</v>
      </c>
    </row>
    <row r="142" spans="2:36">
      <c r="B142">
        <f t="shared" si="40"/>
        <v>216</v>
      </c>
      <c r="C142">
        <f t="shared" si="36"/>
        <v>533.08800000000076</v>
      </c>
      <c r="D142">
        <f>'FOB Data'!C154</f>
        <v>2.4680000000000035</v>
      </c>
      <c r="F142">
        <f t="shared" si="41"/>
        <v>216</v>
      </c>
      <c r="G142">
        <f t="shared" si="37"/>
        <v>540</v>
      </c>
      <c r="H142">
        <f>'FOB Data'!F154</f>
        <v>2.5</v>
      </c>
      <c r="J142">
        <f>'FOB Data'!H154</f>
        <v>216</v>
      </c>
      <c r="K142">
        <f t="shared" si="38"/>
        <v>459.82079999999951</v>
      </c>
      <c r="L142">
        <f>'FOB Data'!I154</f>
        <v>2.1287999999999978</v>
      </c>
      <c r="N142">
        <f>'FOB Data'!K154</f>
        <v>216</v>
      </c>
      <c r="O142">
        <f t="shared" si="39"/>
        <v>518.4</v>
      </c>
      <c r="P142">
        <f>'FOB Data'!L154</f>
        <v>2.4</v>
      </c>
      <c r="R142">
        <f>'FOB Data'!N154</f>
        <v>216</v>
      </c>
      <c r="S142">
        <f t="shared" si="28"/>
        <v>518.4</v>
      </c>
      <c r="T142">
        <f>'FOB Data'!O154</f>
        <v>2.4</v>
      </c>
      <c r="V142">
        <f>'FOB Data'!Q154</f>
        <v>216</v>
      </c>
      <c r="W142">
        <f t="shared" si="29"/>
        <v>388.8</v>
      </c>
      <c r="X142">
        <f>'FOB Data'!R154</f>
        <v>1.8</v>
      </c>
      <c r="Z142">
        <f t="shared" si="30"/>
        <v>216</v>
      </c>
      <c r="AA142">
        <f t="shared" si="31"/>
        <v>453.6</v>
      </c>
      <c r="AB142">
        <f>'FOB Data'!U154</f>
        <v>2.1</v>
      </c>
      <c r="AD142">
        <f t="shared" si="32"/>
        <v>216</v>
      </c>
      <c r="AE142">
        <f t="shared" si="33"/>
        <v>604.79999999999995</v>
      </c>
      <c r="AF142">
        <f>'FOB Data'!X154</f>
        <v>2.8</v>
      </c>
      <c r="AH142">
        <f t="shared" si="34"/>
        <v>216</v>
      </c>
      <c r="AI142">
        <f t="shared" si="35"/>
        <v>554.68800000000067</v>
      </c>
      <c r="AJ142">
        <f>'FOB Data'!AA154</f>
        <v>2.5680000000000032</v>
      </c>
    </row>
    <row r="143" spans="2:36">
      <c r="B143">
        <f t="shared" si="40"/>
        <v>217</v>
      </c>
      <c r="C143">
        <f t="shared" si="36"/>
        <v>535.12200000000087</v>
      </c>
      <c r="D143">
        <f>'FOB Data'!C155</f>
        <v>2.4660000000000037</v>
      </c>
      <c r="F143">
        <f t="shared" si="41"/>
        <v>217</v>
      </c>
      <c r="G143">
        <f t="shared" si="37"/>
        <v>542.5</v>
      </c>
      <c r="H143">
        <f>'FOB Data'!F155</f>
        <v>2.5</v>
      </c>
      <c r="J143">
        <f>'FOB Data'!H155</f>
        <v>217</v>
      </c>
      <c r="K143">
        <f t="shared" si="38"/>
        <v>461.79769999999951</v>
      </c>
      <c r="L143">
        <f>'FOB Data'!I155</f>
        <v>2.1280999999999977</v>
      </c>
      <c r="N143">
        <f>'FOB Data'!K155</f>
        <v>217</v>
      </c>
      <c r="O143">
        <f t="shared" si="39"/>
        <v>520.79999999999995</v>
      </c>
      <c r="P143">
        <f>'FOB Data'!L155</f>
        <v>2.4</v>
      </c>
      <c r="R143">
        <f>'FOB Data'!N155</f>
        <v>217</v>
      </c>
      <c r="S143">
        <f t="shared" si="28"/>
        <v>520.79999999999995</v>
      </c>
      <c r="T143">
        <f>'FOB Data'!O155</f>
        <v>2.4</v>
      </c>
      <c r="V143">
        <f>'FOB Data'!Q155</f>
        <v>217</v>
      </c>
      <c r="W143">
        <f t="shared" si="29"/>
        <v>390.6</v>
      </c>
      <c r="X143">
        <f>'FOB Data'!R155</f>
        <v>1.8</v>
      </c>
      <c r="Z143">
        <f t="shared" si="30"/>
        <v>217</v>
      </c>
      <c r="AA143">
        <f t="shared" si="31"/>
        <v>455.70000000000005</v>
      </c>
      <c r="AB143">
        <f>'FOB Data'!U155</f>
        <v>2.1</v>
      </c>
      <c r="AD143">
        <f t="shared" si="32"/>
        <v>217</v>
      </c>
      <c r="AE143">
        <f t="shared" si="33"/>
        <v>607.59999999999991</v>
      </c>
      <c r="AF143">
        <f>'FOB Data'!X155</f>
        <v>2.8</v>
      </c>
      <c r="AH143">
        <f t="shared" si="34"/>
        <v>217</v>
      </c>
      <c r="AI143">
        <f t="shared" si="35"/>
        <v>556.82200000000068</v>
      </c>
      <c r="AJ143">
        <f>'FOB Data'!AA155</f>
        <v>2.5660000000000034</v>
      </c>
    </row>
    <row r="144" spans="2:36">
      <c r="B144">
        <f t="shared" si="40"/>
        <v>218</v>
      </c>
      <c r="C144">
        <f t="shared" si="36"/>
        <v>537.15200000000084</v>
      </c>
      <c r="D144">
        <f>'FOB Data'!C156</f>
        <v>2.464000000000004</v>
      </c>
      <c r="F144">
        <f t="shared" si="41"/>
        <v>218</v>
      </c>
      <c r="G144">
        <f t="shared" si="37"/>
        <v>545</v>
      </c>
      <c r="H144">
        <f>'FOB Data'!F156</f>
        <v>2.5</v>
      </c>
      <c r="J144">
        <f>'FOB Data'!H156</f>
        <v>218</v>
      </c>
      <c r="K144">
        <f t="shared" si="38"/>
        <v>463.77319999999946</v>
      </c>
      <c r="L144">
        <f>'FOB Data'!I156</f>
        <v>2.1273999999999975</v>
      </c>
      <c r="N144">
        <f>'FOB Data'!K156</f>
        <v>218</v>
      </c>
      <c r="O144">
        <f t="shared" si="39"/>
        <v>523.19999999999993</v>
      </c>
      <c r="P144">
        <f>'FOB Data'!L156</f>
        <v>2.4</v>
      </c>
      <c r="R144">
        <f>'FOB Data'!N156</f>
        <v>218</v>
      </c>
      <c r="S144">
        <f t="shared" si="28"/>
        <v>523.19999999999993</v>
      </c>
      <c r="T144">
        <f>'FOB Data'!O156</f>
        <v>2.4</v>
      </c>
      <c r="V144">
        <f>'FOB Data'!Q156</f>
        <v>218</v>
      </c>
      <c r="W144">
        <f t="shared" si="29"/>
        <v>392.40000000000003</v>
      </c>
      <c r="X144">
        <f>'FOB Data'!R156</f>
        <v>1.8</v>
      </c>
      <c r="Z144">
        <f t="shared" si="30"/>
        <v>218</v>
      </c>
      <c r="AA144">
        <f t="shared" si="31"/>
        <v>457.8</v>
      </c>
      <c r="AB144">
        <f>'FOB Data'!U156</f>
        <v>2.1</v>
      </c>
      <c r="AD144">
        <f t="shared" si="32"/>
        <v>218</v>
      </c>
      <c r="AE144">
        <f t="shared" si="33"/>
        <v>610.4</v>
      </c>
      <c r="AF144">
        <f>'FOB Data'!X156</f>
        <v>2.8</v>
      </c>
      <c r="AH144">
        <f t="shared" si="34"/>
        <v>218</v>
      </c>
      <c r="AI144">
        <f t="shared" si="35"/>
        <v>558.95200000000079</v>
      </c>
      <c r="AJ144">
        <f>'FOB Data'!AA156</f>
        <v>2.5640000000000036</v>
      </c>
    </row>
    <row r="145" spans="2:36">
      <c r="B145">
        <f t="shared" si="40"/>
        <v>219</v>
      </c>
      <c r="C145">
        <f t="shared" si="36"/>
        <v>539.17800000000091</v>
      </c>
      <c r="D145">
        <f>'FOB Data'!C157</f>
        <v>2.4620000000000042</v>
      </c>
      <c r="F145">
        <f t="shared" si="41"/>
        <v>219</v>
      </c>
      <c r="G145">
        <f t="shared" si="37"/>
        <v>547.5</v>
      </c>
      <c r="H145">
        <f>'FOB Data'!F157</f>
        <v>2.5</v>
      </c>
      <c r="J145">
        <f>'FOB Data'!H157</f>
        <v>219</v>
      </c>
      <c r="K145">
        <f t="shared" si="38"/>
        <v>465.74729999999943</v>
      </c>
      <c r="L145">
        <f>'FOB Data'!I157</f>
        <v>2.1266999999999974</v>
      </c>
      <c r="N145">
        <f>'FOB Data'!K157</f>
        <v>219</v>
      </c>
      <c r="O145">
        <f t="shared" si="39"/>
        <v>525.6</v>
      </c>
      <c r="P145">
        <f>'FOB Data'!L157</f>
        <v>2.4</v>
      </c>
      <c r="R145">
        <f>'FOB Data'!N157</f>
        <v>219</v>
      </c>
      <c r="S145">
        <f t="shared" si="28"/>
        <v>525.6</v>
      </c>
      <c r="T145">
        <f>'FOB Data'!O157</f>
        <v>2.4</v>
      </c>
      <c r="V145">
        <f>'FOB Data'!Q157</f>
        <v>219</v>
      </c>
      <c r="W145">
        <f t="shared" si="29"/>
        <v>394.2</v>
      </c>
      <c r="X145">
        <f>'FOB Data'!R157</f>
        <v>1.8</v>
      </c>
      <c r="Z145">
        <f t="shared" si="30"/>
        <v>219</v>
      </c>
      <c r="AA145">
        <f t="shared" si="31"/>
        <v>459.90000000000003</v>
      </c>
      <c r="AB145">
        <f>'FOB Data'!U157</f>
        <v>2.1</v>
      </c>
      <c r="AD145">
        <f t="shared" si="32"/>
        <v>219</v>
      </c>
      <c r="AE145">
        <f t="shared" si="33"/>
        <v>613.19999999999993</v>
      </c>
      <c r="AF145">
        <f>'FOB Data'!X157</f>
        <v>2.8</v>
      </c>
      <c r="AH145">
        <f t="shared" si="34"/>
        <v>219</v>
      </c>
      <c r="AI145">
        <f t="shared" si="35"/>
        <v>561.07800000000088</v>
      </c>
      <c r="AJ145">
        <f>'FOB Data'!AA157</f>
        <v>2.5620000000000038</v>
      </c>
    </row>
    <row r="146" spans="2:36">
      <c r="B146">
        <f t="shared" si="40"/>
        <v>220</v>
      </c>
      <c r="C146">
        <f t="shared" si="36"/>
        <v>541.20000000000095</v>
      </c>
      <c r="D146">
        <f>'FOB Data'!C158</f>
        <v>2.4600000000000044</v>
      </c>
      <c r="F146">
        <f t="shared" si="41"/>
        <v>220</v>
      </c>
      <c r="G146">
        <f t="shared" si="37"/>
        <v>550</v>
      </c>
      <c r="H146">
        <f>'FOB Data'!F158</f>
        <v>2.5</v>
      </c>
      <c r="J146">
        <f>'FOB Data'!H158</f>
        <v>220</v>
      </c>
      <c r="K146">
        <f t="shared" si="38"/>
        <v>467.7199999999994</v>
      </c>
      <c r="L146">
        <f>'FOB Data'!I158</f>
        <v>2.1259999999999972</v>
      </c>
      <c r="N146">
        <f>'FOB Data'!K158</f>
        <v>220</v>
      </c>
      <c r="O146">
        <f t="shared" si="39"/>
        <v>528</v>
      </c>
      <c r="P146">
        <f>'FOB Data'!L158</f>
        <v>2.4</v>
      </c>
      <c r="R146">
        <f>'FOB Data'!N158</f>
        <v>220</v>
      </c>
      <c r="S146">
        <f t="shared" si="28"/>
        <v>528</v>
      </c>
      <c r="T146">
        <f>'FOB Data'!O158</f>
        <v>2.4</v>
      </c>
      <c r="V146">
        <f>'FOB Data'!Q158</f>
        <v>220</v>
      </c>
      <c r="W146">
        <f t="shared" si="29"/>
        <v>396</v>
      </c>
      <c r="X146">
        <f>'FOB Data'!R158</f>
        <v>1.8</v>
      </c>
      <c r="Z146">
        <f t="shared" si="30"/>
        <v>220</v>
      </c>
      <c r="AA146">
        <f t="shared" si="31"/>
        <v>462</v>
      </c>
      <c r="AB146">
        <f>'FOB Data'!U158</f>
        <v>2.1</v>
      </c>
      <c r="AD146">
        <f t="shared" si="32"/>
        <v>220</v>
      </c>
      <c r="AE146">
        <f t="shared" si="33"/>
        <v>616</v>
      </c>
      <c r="AF146">
        <f>'FOB Data'!X158</f>
        <v>2.8</v>
      </c>
      <c r="AH146">
        <f t="shared" si="34"/>
        <v>220</v>
      </c>
      <c r="AI146">
        <f t="shared" si="35"/>
        <v>563.20000000000084</v>
      </c>
      <c r="AJ146">
        <f>'FOB Data'!AA158</f>
        <v>2.5600000000000041</v>
      </c>
    </row>
    <row r="147" spans="2:36">
      <c r="B147">
        <f t="shared" si="40"/>
        <v>221</v>
      </c>
      <c r="C147">
        <f t="shared" si="36"/>
        <v>543.21800000000098</v>
      </c>
      <c r="D147">
        <f>'FOB Data'!C159</f>
        <v>2.4580000000000046</v>
      </c>
      <c r="F147">
        <f t="shared" si="41"/>
        <v>221</v>
      </c>
      <c r="G147">
        <f t="shared" si="37"/>
        <v>552.5</v>
      </c>
      <c r="H147">
        <f>'FOB Data'!F159</f>
        <v>2.5</v>
      </c>
      <c r="J147">
        <f>'FOB Data'!H159</f>
        <v>221</v>
      </c>
      <c r="K147">
        <f t="shared" si="38"/>
        <v>469.69129999999933</v>
      </c>
      <c r="L147">
        <f>'FOB Data'!I159</f>
        <v>2.1252999999999971</v>
      </c>
      <c r="N147">
        <f>'FOB Data'!K159</f>
        <v>221</v>
      </c>
      <c r="O147">
        <f t="shared" si="39"/>
        <v>530.4</v>
      </c>
      <c r="P147">
        <f>'FOB Data'!L159</f>
        <v>2.4</v>
      </c>
      <c r="R147">
        <f>'FOB Data'!N159</f>
        <v>221</v>
      </c>
      <c r="S147">
        <f t="shared" si="28"/>
        <v>530.4</v>
      </c>
      <c r="T147">
        <f>'FOB Data'!O159</f>
        <v>2.4</v>
      </c>
      <c r="V147">
        <f>'FOB Data'!Q159</f>
        <v>221</v>
      </c>
      <c r="W147">
        <f t="shared" si="29"/>
        <v>397.8</v>
      </c>
      <c r="X147">
        <f>'FOB Data'!R159</f>
        <v>1.8</v>
      </c>
      <c r="Z147">
        <f t="shared" si="30"/>
        <v>221</v>
      </c>
      <c r="AA147">
        <f t="shared" si="31"/>
        <v>464.1</v>
      </c>
      <c r="AB147">
        <f>'FOB Data'!U159</f>
        <v>2.1</v>
      </c>
      <c r="AD147">
        <f t="shared" si="32"/>
        <v>221</v>
      </c>
      <c r="AE147">
        <f t="shared" si="33"/>
        <v>618.79999999999995</v>
      </c>
      <c r="AF147">
        <f>'FOB Data'!X159</f>
        <v>2.8</v>
      </c>
      <c r="AH147">
        <f t="shared" si="34"/>
        <v>221</v>
      </c>
      <c r="AI147">
        <f t="shared" si="35"/>
        <v>565.31800000000089</v>
      </c>
      <c r="AJ147">
        <f>'FOB Data'!AA159</f>
        <v>2.5580000000000043</v>
      </c>
    </row>
    <row r="148" spans="2:36">
      <c r="B148">
        <f t="shared" si="40"/>
        <v>222</v>
      </c>
      <c r="C148">
        <f t="shared" si="36"/>
        <v>545.23200000000111</v>
      </c>
      <c r="D148">
        <f>'FOB Data'!C160</f>
        <v>2.4560000000000048</v>
      </c>
      <c r="F148">
        <f t="shared" si="41"/>
        <v>222</v>
      </c>
      <c r="G148">
        <f t="shared" si="37"/>
        <v>555</v>
      </c>
      <c r="H148">
        <f>'FOB Data'!F160</f>
        <v>2.5</v>
      </c>
      <c r="J148">
        <f>'FOB Data'!H160</f>
        <v>222</v>
      </c>
      <c r="K148">
        <f t="shared" si="38"/>
        <v>471.66119999999933</v>
      </c>
      <c r="L148">
        <f>'FOB Data'!I160</f>
        <v>2.1245999999999969</v>
      </c>
      <c r="N148">
        <f>'FOB Data'!K160</f>
        <v>222</v>
      </c>
      <c r="O148">
        <f t="shared" si="39"/>
        <v>532.79999999999995</v>
      </c>
      <c r="P148">
        <f>'FOB Data'!L160</f>
        <v>2.4</v>
      </c>
      <c r="R148">
        <f>'FOB Data'!N160</f>
        <v>222</v>
      </c>
      <c r="S148">
        <f t="shared" si="28"/>
        <v>532.79999999999995</v>
      </c>
      <c r="T148">
        <f>'FOB Data'!O160</f>
        <v>2.4</v>
      </c>
      <c r="V148">
        <f>'FOB Data'!Q160</f>
        <v>222</v>
      </c>
      <c r="W148">
        <f t="shared" si="29"/>
        <v>399.6</v>
      </c>
      <c r="X148">
        <f>'FOB Data'!R160</f>
        <v>1.8</v>
      </c>
      <c r="Z148">
        <f t="shared" si="30"/>
        <v>222</v>
      </c>
      <c r="AA148">
        <f t="shared" si="31"/>
        <v>466.20000000000005</v>
      </c>
      <c r="AB148">
        <f>'FOB Data'!U160</f>
        <v>2.1</v>
      </c>
      <c r="AD148">
        <f t="shared" si="32"/>
        <v>222</v>
      </c>
      <c r="AE148">
        <f t="shared" si="33"/>
        <v>621.59999999999991</v>
      </c>
      <c r="AF148">
        <f>'FOB Data'!X160</f>
        <v>2.8</v>
      </c>
      <c r="AH148">
        <f t="shared" si="34"/>
        <v>222</v>
      </c>
      <c r="AI148">
        <f t="shared" si="35"/>
        <v>567.43200000000104</v>
      </c>
      <c r="AJ148">
        <f>'FOB Data'!AA160</f>
        <v>2.5560000000000045</v>
      </c>
    </row>
    <row r="149" spans="2:36">
      <c r="B149">
        <f t="shared" si="40"/>
        <v>223</v>
      </c>
      <c r="C149">
        <f t="shared" si="36"/>
        <v>547.2420000000011</v>
      </c>
      <c r="D149">
        <f>'FOB Data'!C161</f>
        <v>2.4540000000000051</v>
      </c>
      <c r="F149">
        <f t="shared" si="41"/>
        <v>223</v>
      </c>
      <c r="G149">
        <f t="shared" si="37"/>
        <v>557.5</v>
      </c>
      <c r="H149">
        <f>'FOB Data'!F161</f>
        <v>2.5</v>
      </c>
      <c r="J149">
        <f>'FOB Data'!H161</f>
        <v>223</v>
      </c>
      <c r="K149">
        <f t="shared" si="38"/>
        <v>473.62969999999927</v>
      </c>
      <c r="L149">
        <f>'FOB Data'!I161</f>
        <v>2.1238999999999968</v>
      </c>
      <c r="N149">
        <f>'FOB Data'!K161</f>
        <v>223</v>
      </c>
      <c r="O149">
        <f t="shared" si="39"/>
        <v>535.19999999999993</v>
      </c>
      <c r="P149">
        <f>'FOB Data'!L161</f>
        <v>2.4</v>
      </c>
      <c r="R149">
        <f>'FOB Data'!N161</f>
        <v>223</v>
      </c>
      <c r="S149">
        <f t="shared" si="28"/>
        <v>535.19999999999993</v>
      </c>
      <c r="T149">
        <f>'FOB Data'!O161</f>
        <v>2.4</v>
      </c>
      <c r="V149">
        <f>'FOB Data'!Q161</f>
        <v>223</v>
      </c>
      <c r="W149">
        <f t="shared" si="29"/>
        <v>401.40000000000003</v>
      </c>
      <c r="X149">
        <f>'FOB Data'!R161</f>
        <v>1.8</v>
      </c>
      <c r="Z149">
        <f t="shared" si="30"/>
        <v>223</v>
      </c>
      <c r="AA149">
        <f t="shared" si="31"/>
        <v>468.3</v>
      </c>
      <c r="AB149">
        <f>'FOB Data'!U161</f>
        <v>2.1</v>
      </c>
      <c r="AD149">
        <f t="shared" si="32"/>
        <v>223</v>
      </c>
      <c r="AE149">
        <f t="shared" si="33"/>
        <v>624.4</v>
      </c>
      <c r="AF149">
        <f>'FOB Data'!X161</f>
        <v>2.8</v>
      </c>
      <c r="AH149">
        <f t="shared" si="34"/>
        <v>223</v>
      </c>
      <c r="AI149">
        <f t="shared" si="35"/>
        <v>569.54200000000105</v>
      </c>
      <c r="AJ149">
        <f>'FOB Data'!AA161</f>
        <v>2.5540000000000047</v>
      </c>
    </row>
    <row r="150" spans="2:36">
      <c r="B150">
        <f t="shared" si="40"/>
        <v>224</v>
      </c>
      <c r="C150">
        <f t="shared" si="36"/>
        <v>549.24800000000118</v>
      </c>
      <c r="D150">
        <f>'FOB Data'!C162</f>
        <v>2.4520000000000053</v>
      </c>
      <c r="F150">
        <f t="shared" si="41"/>
        <v>224</v>
      </c>
      <c r="G150">
        <f t="shared" si="37"/>
        <v>560</v>
      </c>
      <c r="H150">
        <f>'FOB Data'!F162</f>
        <v>2.5</v>
      </c>
      <c r="J150">
        <f>'FOB Data'!H162</f>
        <v>224</v>
      </c>
      <c r="K150">
        <f t="shared" si="38"/>
        <v>475.59679999999923</v>
      </c>
      <c r="L150">
        <f>'FOB Data'!I162</f>
        <v>2.1231999999999966</v>
      </c>
      <c r="N150">
        <f>'FOB Data'!K162</f>
        <v>224</v>
      </c>
      <c r="O150">
        <f t="shared" si="39"/>
        <v>537.6</v>
      </c>
      <c r="P150">
        <f>'FOB Data'!L162</f>
        <v>2.4</v>
      </c>
      <c r="R150">
        <f>'FOB Data'!N162</f>
        <v>224</v>
      </c>
      <c r="S150">
        <f t="shared" si="28"/>
        <v>537.6</v>
      </c>
      <c r="T150">
        <f>'FOB Data'!O162</f>
        <v>2.4</v>
      </c>
      <c r="V150">
        <f>'FOB Data'!Q162</f>
        <v>224</v>
      </c>
      <c r="W150">
        <f t="shared" si="29"/>
        <v>403.2</v>
      </c>
      <c r="X150">
        <f>'FOB Data'!R162</f>
        <v>1.8</v>
      </c>
      <c r="Z150">
        <f t="shared" si="30"/>
        <v>224</v>
      </c>
      <c r="AA150">
        <f t="shared" si="31"/>
        <v>470.40000000000003</v>
      </c>
      <c r="AB150">
        <f>'FOB Data'!U162</f>
        <v>2.1</v>
      </c>
      <c r="AD150">
        <f t="shared" si="32"/>
        <v>224</v>
      </c>
      <c r="AE150">
        <f t="shared" si="33"/>
        <v>627.19999999999993</v>
      </c>
      <c r="AF150">
        <f>'FOB Data'!X162</f>
        <v>2.8</v>
      </c>
      <c r="AH150">
        <f t="shared" si="34"/>
        <v>224</v>
      </c>
      <c r="AI150">
        <f t="shared" si="35"/>
        <v>571.64800000000105</v>
      </c>
      <c r="AJ150">
        <f>'FOB Data'!AA162</f>
        <v>2.5520000000000049</v>
      </c>
    </row>
    <row r="151" spans="2:36">
      <c r="B151">
        <f t="shared" si="40"/>
        <v>225</v>
      </c>
      <c r="C151">
        <f t="shared" si="36"/>
        <v>551.25000000000125</v>
      </c>
      <c r="D151">
        <f>'FOB Data'!C163</f>
        <v>2.4500000000000055</v>
      </c>
      <c r="F151">
        <f t="shared" si="41"/>
        <v>225</v>
      </c>
      <c r="G151">
        <f t="shared" si="37"/>
        <v>562.5</v>
      </c>
      <c r="H151">
        <f>'FOB Data'!F163</f>
        <v>2.5</v>
      </c>
      <c r="J151">
        <f>'FOB Data'!H163</f>
        <v>225</v>
      </c>
      <c r="K151">
        <f t="shared" si="38"/>
        <v>477.5624999999992</v>
      </c>
      <c r="L151">
        <f>'FOB Data'!I163</f>
        <v>2.1224999999999965</v>
      </c>
      <c r="N151">
        <f>'FOB Data'!K163</f>
        <v>225</v>
      </c>
      <c r="O151">
        <f t="shared" si="39"/>
        <v>540</v>
      </c>
      <c r="P151">
        <f>'FOB Data'!L163</f>
        <v>2.4</v>
      </c>
      <c r="R151">
        <f>'FOB Data'!N163</f>
        <v>225</v>
      </c>
      <c r="S151">
        <f t="shared" si="28"/>
        <v>540</v>
      </c>
      <c r="T151">
        <f>'FOB Data'!O163</f>
        <v>2.4</v>
      </c>
      <c r="V151">
        <f>'FOB Data'!Q163</f>
        <v>225</v>
      </c>
      <c r="W151">
        <f t="shared" si="29"/>
        <v>405</v>
      </c>
      <c r="X151">
        <f>'FOB Data'!R163</f>
        <v>1.8</v>
      </c>
      <c r="Z151">
        <f t="shared" si="30"/>
        <v>225</v>
      </c>
      <c r="AA151">
        <f t="shared" si="31"/>
        <v>472.5</v>
      </c>
      <c r="AB151">
        <f>'FOB Data'!U163</f>
        <v>2.1</v>
      </c>
      <c r="AD151">
        <f t="shared" si="32"/>
        <v>225</v>
      </c>
      <c r="AE151">
        <f t="shared" si="33"/>
        <v>630</v>
      </c>
      <c r="AF151">
        <f>'FOB Data'!X163</f>
        <v>2.8</v>
      </c>
      <c r="AH151">
        <f t="shared" si="34"/>
        <v>225</v>
      </c>
      <c r="AI151">
        <f t="shared" si="35"/>
        <v>573.75000000000114</v>
      </c>
      <c r="AJ151">
        <f>'FOB Data'!AA163</f>
        <v>2.5500000000000052</v>
      </c>
    </row>
    <row r="152" spans="2:36">
      <c r="B152">
        <f t="shared" si="40"/>
        <v>226</v>
      </c>
      <c r="C152">
        <f t="shared" si="36"/>
        <v>553.2480000000013</v>
      </c>
      <c r="D152">
        <f>'FOB Data'!C164</f>
        <v>2.4480000000000057</v>
      </c>
      <c r="F152">
        <f t="shared" si="41"/>
        <v>226</v>
      </c>
      <c r="G152">
        <f t="shared" si="37"/>
        <v>565</v>
      </c>
      <c r="H152">
        <f>'FOB Data'!F164</f>
        <v>2.5</v>
      </c>
      <c r="J152">
        <f>'FOB Data'!H164</f>
        <v>226</v>
      </c>
      <c r="K152">
        <f t="shared" si="38"/>
        <v>479.52679999999918</v>
      </c>
      <c r="L152">
        <f>'FOB Data'!I164</f>
        <v>2.1217999999999964</v>
      </c>
      <c r="N152">
        <f>'FOB Data'!K164</f>
        <v>226</v>
      </c>
      <c r="O152">
        <f t="shared" si="39"/>
        <v>542.4</v>
      </c>
      <c r="P152">
        <f>'FOB Data'!L164</f>
        <v>2.4</v>
      </c>
      <c r="R152">
        <f>'FOB Data'!N164</f>
        <v>226</v>
      </c>
      <c r="S152">
        <f t="shared" si="28"/>
        <v>542.4</v>
      </c>
      <c r="T152">
        <f>'FOB Data'!O164</f>
        <v>2.4</v>
      </c>
      <c r="V152">
        <f>'FOB Data'!Q164</f>
        <v>226</v>
      </c>
      <c r="W152">
        <f t="shared" si="29"/>
        <v>406.8</v>
      </c>
      <c r="X152">
        <f>'FOB Data'!R164</f>
        <v>1.8</v>
      </c>
      <c r="Z152">
        <f t="shared" si="30"/>
        <v>226</v>
      </c>
      <c r="AA152">
        <f t="shared" si="31"/>
        <v>474.6</v>
      </c>
      <c r="AB152">
        <f>'FOB Data'!U164</f>
        <v>2.1</v>
      </c>
      <c r="AD152">
        <f t="shared" si="32"/>
        <v>226</v>
      </c>
      <c r="AE152">
        <f t="shared" si="33"/>
        <v>632.79999999999995</v>
      </c>
      <c r="AF152">
        <f>'FOB Data'!X164</f>
        <v>2.8</v>
      </c>
      <c r="AH152">
        <f t="shared" si="34"/>
        <v>226</v>
      </c>
      <c r="AI152">
        <f t="shared" si="35"/>
        <v>575.84800000000121</v>
      </c>
      <c r="AJ152">
        <f>'FOB Data'!AA164</f>
        <v>2.5480000000000054</v>
      </c>
    </row>
    <row r="153" spans="2:36">
      <c r="B153">
        <f t="shared" si="40"/>
        <v>227</v>
      </c>
      <c r="C153">
        <f t="shared" si="36"/>
        <v>555.24200000000133</v>
      </c>
      <c r="D153">
        <f>'FOB Data'!C165</f>
        <v>2.4460000000000059</v>
      </c>
      <c r="F153">
        <f t="shared" si="41"/>
        <v>227</v>
      </c>
      <c r="G153">
        <f t="shared" si="37"/>
        <v>567.5</v>
      </c>
      <c r="H153">
        <f>'FOB Data'!F165</f>
        <v>2.5</v>
      </c>
      <c r="J153">
        <f>'FOB Data'!H165</f>
        <v>227</v>
      </c>
      <c r="K153">
        <f t="shared" si="38"/>
        <v>481.48969999999912</v>
      </c>
      <c r="L153">
        <f>'FOB Data'!I165</f>
        <v>2.1210999999999962</v>
      </c>
      <c r="N153">
        <f>'FOB Data'!K165</f>
        <v>227</v>
      </c>
      <c r="O153">
        <f t="shared" si="39"/>
        <v>544.79999999999995</v>
      </c>
      <c r="P153">
        <f>'FOB Data'!L165</f>
        <v>2.4</v>
      </c>
      <c r="R153">
        <f>'FOB Data'!N165</f>
        <v>227</v>
      </c>
      <c r="S153">
        <f t="shared" si="28"/>
        <v>544.79999999999995</v>
      </c>
      <c r="T153">
        <f>'FOB Data'!O165</f>
        <v>2.4</v>
      </c>
      <c r="V153">
        <f>'FOB Data'!Q165</f>
        <v>227</v>
      </c>
      <c r="W153">
        <f t="shared" si="29"/>
        <v>408.6</v>
      </c>
      <c r="X153">
        <f>'FOB Data'!R165</f>
        <v>1.8</v>
      </c>
      <c r="Z153">
        <f t="shared" si="30"/>
        <v>227</v>
      </c>
      <c r="AA153">
        <f t="shared" si="31"/>
        <v>476.70000000000005</v>
      </c>
      <c r="AB153">
        <f>'FOB Data'!U165</f>
        <v>2.1</v>
      </c>
      <c r="AD153">
        <f t="shared" si="32"/>
        <v>227</v>
      </c>
      <c r="AE153">
        <f t="shared" si="33"/>
        <v>635.59999999999991</v>
      </c>
      <c r="AF153">
        <f>'FOB Data'!X165</f>
        <v>2.8</v>
      </c>
      <c r="AH153">
        <f t="shared" si="34"/>
        <v>227</v>
      </c>
      <c r="AI153">
        <f t="shared" si="35"/>
        <v>577.94200000000126</v>
      </c>
      <c r="AJ153">
        <f>'FOB Data'!AA165</f>
        <v>2.5460000000000056</v>
      </c>
    </row>
    <row r="154" spans="2:36">
      <c r="B154">
        <f t="shared" si="40"/>
        <v>228</v>
      </c>
      <c r="C154">
        <f t="shared" si="36"/>
        <v>557.23200000000145</v>
      </c>
      <c r="D154">
        <f>'FOB Data'!C166</f>
        <v>2.4440000000000062</v>
      </c>
      <c r="F154">
        <f t="shared" si="41"/>
        <v>228</v>
      </c>
      <c r="G154">
        <f t="shared" si="37"/>
        <v>570</v>
      </c>
      <c r="H154">
        <f>'FOB Data'!F166</f>
        <v>2.5</v>
      </c>
      <c r="J154">
        <f>'FOB Data'!H166</f>
        <v>228</v>
      </c>
      <c r="K154">
        <f t="shared" si="38"/>
        <v>483.45119999999912</v>
      </c>
      <c r="L154">
        <f>'FOB Data'!I166</f>
        <v>2.1203999999999961</v>
      </c>
      <c r="N154">
        <f>'FOB Data'!K166</f>
        <v>228</v>
      </c>
      <c r="O154">
        <f t="shared" si="39"/>
        <v>547.19999999999993</v>
      </c>
      <c r="P154">
        <f>'FOB Data'!L166</f>
        <v>2.4</v>
      </c>
      <c r="R154">
        <f>'FOB Data'!N166</f>
        <v>228</v>
      </c>
      <c r="S154">
        <f t="shared" si="28"/>
        <v>547.19999999999993</v>
      </c>
      <c r="T154">
        <f>'FOB Data'!O166</f>
        <v>2.4</v>
      </c>
      <c r="V154">
        <f>'FOB Data'!Q166</f>
        <v>228</v>
      </c>
      <c r="W154">
        <f t="shared" si="29"/>
        <v>410.40000000000003</v>
      </c>
      <c r="X154">
        <f>'FOB Data'!R166</f>
        <v>1.8</v>
      </c>
      <c r="Z154">
        <f t="shared" si="30"/>
        <v>228</v>
      </c>
      <c r="AA154">
        <f t="shared" si="31"/>
        <v>478.8</v>
      </c>
      <c r="AB154">
        <f>'FOB Data'!U166</f>
        <v>2.1</v>
      </c>
      <c r="AD154">
        <f t="shared" si="32"/>
        <v>228</v>
      </c>
      <c r="AE154">
        <f t="shared" si="33"/>
        <v>638.4</v>
      </c>
      <c r="AF154">
        <f>'FOB Data'!X166</f>
        <v>2.8</v>
      </c>
      <c r="AH154">
        <f t="shared" si="34"/>
        <v>228</v>
      </c>
      <c r="AI154">
        <f t="shared" si="35"/>
        <v>580.03200000000129</v>
      </c>
      <c r="AJ154">
        <f>'FOB Data'!AA166</f>
        <v>2.5440000000000058</v>
      </c>
    </row>
    <row r="155" spans="2:36">
      <c r="B155">
        <f t="shared" si="40"/>
        <v>229</v>
      </c>
      <c r="C155">
        <f t="shared" si="36"/>
        <v>559.21800000000144</v>
      </c>
      <c r="D155">
        <f>'FOB Data'!C167</f>
        <v>2.4420000000000064</v>
      </c>
      <c r="F155">
        <f t="shared" si="41"/>
        <v>229</v>
      </c>
      <c r="G155">
        <f t="shared" si="37"/>
        <v>572.5</v>
      </c>
      <c r="H155">
        <f>'FOB Data'!F167</f>
        <v>2.5</v>
      </c>
      <c r="J155">
        <f>'FOB Data'!H167</f>
        <v>229</v>
      </c>
      <c r="K155">
        <f t="shared" si="38"/>
        <v>485.41129999999907</v>
      </c>
      <c r="L155">
        <f>'FOB Data'!I167</f>
        <v>2.1196999999999959</v>
      </c>
      <c r="N155">
        <f>'FOB Data'!K167</f>
        <v>229</v>
      </c>
      <c r="O155">
        <f t="shared" si="39"/>
        <v>549.6</v>
      </c>
      <c r="P155">
        <f>'FOB Data'!L167</f>
        <v>2.4</v>
      </c>
      <c r="R155">
        <f>'FOB Data'!N167</f>
        <v>229</v>
      </c>
      <c r="S155">
        <f t="shared" si="28"/>
        <v>549.6</v>
      </c>
      <c r="T155">
        <f>'FOB Data'!O167</f>
        <v>2.4</v>
      </c>
      <c r="V155">
        <f>'FOB Data'!Q167</f>
        <v>229</v>
      </c>
      <c r="W155">
        <f t="shared" si="29"/>
        <v>412.2</v>
      </c>
      <c r="X155">
        <f>'FOB Data'!R167</f>
        <v>1.8</v>
      </c>
      <c r="Z155">
        <f t="shared" si="30"/>
        <v>229</v>
      </c>
      <c r="AA155">
        <f t="shared" si="31"/>
        <v>480.90000000000003</v>
      </c>
      <c r="AB155">
        <f>'FOB Data'!U167</f>
        <v>2.1</v>
      </c>
      <c r="AD155">
        <f t="shared" si="32"/>
        <v>229</v>
      </c>
      <c r="AE155">
        <f t="shared" si="33"/>
        <v>641.19999999999993</v>
      </c>
      <c r="AF155">
        <f>'FOB Data'!X167</f>
        <v>2.8</v>
      </c>
      <c r="AH155">
        <f t="shared" si="34"/>
        <v>229</v>
      </c>
      <c r="AI155">
        <f t="shared" si="35"/>
        <v>582.11800000000142</v>
      </c>
      <c r="AJ155">
        <f>'FOB Data'!AA167</f>
        <v>2.542000000000006</v>
      </c>
    </row>
    <row r="156" spans="2:36">
      <c r="B156">
        <f t="shared" si="40"/>
        <v>230</v>
      </c>
      <c r="C156">
        <f t="shared" si="36"/>
        <v>561.20000000000152</v>
      </c>
      <c r="D156">
        <f>'FOB Data'!C168</f>
        <v>2.4400000000000066</v>
      </c>
      <c r="F156">
        <f t="shared" si="41"/>
        <v>230</v>
      </c>
      <c r="G156">
        <f t="shared" si="37"/>
        <v>575</v>
      </c>
      <c r="H156">
        <f>'FOB Data'!F168</f>
        <v>2.5</v>
      </c>
      <c r="J156">
        <f>'FOB Data'!H168</f>
        <v>230</v>
      </c>
      <c r="K156">
        <f t="shared" si="38"/>
        <v>487.36999999999904</v>
      </c>
      <c r="L156">
        <f>'FOB Data'!I168</f>
        <v>2.1189999999999958</v>
      </c>
      <c r="N156">
        <f>'FOB Data'!K168</f>
        <v>230</v>
      </c>
      <c r="O156">
        <f t="shared" si="39"/>
        <v>552</v>
      </c>
      <c r="P156">
        <f>'FOB Data'!L168</f>
        <v>2.4</v>
      </c>
      <c r="R156">
        <f>'FOB Data'!N168</f>
        <v>230</v>
      </c>
      <c r="S156">
        <f t="shared" si="28"/>
        <v>552</v>
      </c>
      <c r="T156">
        <f>'FOB Data'!O168</f>
        <v>2.4</v>
      </c>
      <c r="V156">
        <f>'FOB Data'!Q168</f>
        <v>230</v>
      </c>
      <c r="W156">
        <f t="shared" si="29"/>
        <v>414</v>
      </c>
      <c r="X156">
        <f>'FOB Data'!R168</f>
        <v>1.8</v>
      </c>
      <c r="Z156">
        <f t="shared" si="30"/>
        <v>230</v>
      </c>
      <c r="AA156">
        <f t="shared" si="31"/>
        <v>483</v>
      </c>
      <c r="AB156">
        <f>'FOB Data'!U168</f>
        <v>2.1</v>
      </c>
      <c r="AD156">
        <f t="shared" si="32"/>
        <v>230</v>
      </c>
      <c r="AE156">
        <f t="shared" si="33"/>
        <v>644</v>
      </c>
      <c r="AF156">
        <f>'FOB Data'!X168</f>
        <v>2.8</v>
      </c>
      <c r="AH156">
        <f t="shared" si="34"/>
        <v>230</v>
      </c>
      <c r="AI156">
        <f t="shared" si="35"/>
        <v>584.20000000000141</v>
      </c>
      <c r="AJ156">
        <f>'FOB Data'!AA168</f>
        <v>2.5400000000000063</v>
      </c>
    </row>
    <row r="157" spans="2:36">
      <c r="B157">
        <f t="shared" si="40"/>
        <v>231</v>
      </c>
      <c r="C157">
        <f t="shared" si="36"/>
        <v>563.17800000000159</v>
      </c>
      <c r="D157">
        <f>'FOB Data'!C169</f>
        <v>2.4380000000000068</v>
      </c>
      <c r="F157">
        <f t="shared" si="41"/>
        <v>231</v>
      </c>
      <c r="G157">
        <f t="shared" si="37"/>
        <v>577.5</v>
      </c>
      <c r="H157">
        <f>'FOB Data'!F169</f>
        <v>2.5</v>
      </c>
      <c r="J157">
        <f>'FOB Data'!H169</f>
        <v>231</v>
      </c>
      <c r="K157">
        <f t="shared" si="38"/>
        <v>489.32729999999901</v>
      </c>
      <c r="L157">
        <f>'FOB Data'!I169</f>
        <v>2.1182999999999956</v>
      </c>
      <c r="N157">
        <f>'FOB Data'!K169</f>
        <v>231</v>
      </c>
      <c r="O157">
        <f t="shared" si="39"/>
        <v>554.4</v>
      </c>
      <c r="P157">
        <f>'FOB Data'!L169</f>
        <v>2.4</v>
      </c>
      <c r="R157">
        <f>'FOB Data'!N169</f>
        <v>231</v>
      </c>
      <c r="S157">
        <f t="shared" si="28"/>
        <v>554.4</v>
      </c>
      <c r="T157">
        <f>'FOB Data'!O169</f>
        <v>2.4</v>
      </c>
      <c r="V157">
        <f>'FOB Data'!Q169</f>
        <v>231</v>
      </c>
      <c r="W157">
        <f t="shared" si="29"/>
        <v>415.8</v>
      </c>
      <c r="X157">
        <f>'FOB Data'!R169</f>
        <v>1.8</v>
      </c>
      <c r="Z157">
        <f t="shared" si="30"/>
        <v>231</v>
      </c>
      <c r="AA157">
        <f t="shared" si="31"/>
        <v>485.1</v>
      </c>
      <c r="AB157">
        <f>'FOB Data'!U169</f>
        <v>2.1</v>
      </c>
      <c r="AD157">
        <f t="shared" si="32"/>
        <v>231</v>
      </c>
      <c r="AE157">
        <f t="shared" si="33"/>
        <v>646.79999999999995</v>
      </c>
      <c r="AF157">
        <f>'FOB Data'!X169</f>
        <v>2.8</v>
      </c>
      <c r="AH157">
        <f t="shared" si="34"/>
        <v>231</v>
      </c>
      <c r="AI157">
        <f t="shared" si="35"/>
        <v>586.2780000000015</v>
      </c>
      <c r="AJ157">
        <f>'FOB Data'!AA169</f>
        <v>2.5380000000000065</v>
      </c>
    </row>
    <row r="158" spans="2:36">
      <c r="B158">
        <f t="shared" si="40"/>
        <v>232</v>
      </c>
      <c r="C158">
        <f t="shared" si="36"/>
        <v>565.15200000000164</v>
      </c>
      <c r="D158">
        <f>'FOB Data'!C170</f>
        <v>2.436000000000007</v>
      </c>
      <c r="F158">
        <f t="shared" si="41"/>
        <v>232</v>
      </c>
      <c r="G158">
        <f t="shared" si="37"/>
        <v>580</v>
      </c>
      <c r="H158">
        <f>'FOB Data'!F170</f>
        <v>2.5</v>
      </c>
      <c r="J158">
        <f>'FOB Data'!H170</f>
        <v>232</v>
      </c>
      <c r="K158">
        <f t="shared" si="38"/>
        <v>491.28319999999894</v>
      </c>
      <c r="L158">
        <f>'FOB Data'!I170</f>
        <v>2.1175999999999955</v>
      </c>
      <c r="N158">
        <f>'FOB Data'!K170</f>
        <v>232</v>
      </c>
      <c r="O158">
        <f t="shared" si="39"/>
        <v>556.79999999999995</v>
      </c>
      <c r="P158">
        <f>'FOB Data'!L170</f>
        <v>2.4</v>
      </c>
      <c r="R158">
        <f>'FOB Data'!N170</f>
        <v>232</v>
      </c>
      <c r="S158">
        <f t="shared" si="28"/>
        <v>556.79999999999995</v>
      </c>
      <c r="T158">
        <f>'FOB Data'!O170</f>
        <v>2.4</v>
      </c>
      <c r="V158">
        <f>'FOB Data'!Q170</f>
        <v>232</v>
      </c>
      <c r="W158">
        <f t="shared" si="29"/>
        <v>417.6</v>
      </c>
      <c r="X158">
        <f>'FOB Data'!R170</f>
        <v>1.8</v>
      </c>
      <c r="Z158">
        <f t="shared" si="30"/>
        <v>232</v>
      </c>
      <c r="AA158">
        <f t="shared" si="31"/>
        <v>487.20000000000005</v>
      </c>
      <c r="AB158">
        <f>'FOB Data'!U170</f>
        <v>2.1</v>
      </c>
      <c r="AD158">
        <f t="shared" si="32"/>
        <v>232</v>
      </c>
      <c r="AE158">
        <f t="shared" si="33"/>
        <v>649.59999999999991</v>
      </c>
      <c r="AF158">
        <f>'FOB Data'!X170</f>
        <v>2.8</v>
      </c>
      <c r="AH158">
        <f t="shared" si="34"/>
        <v>232</v>
      </c>
      <c r="AI158">
        <f t="shared" si="35"/>
        <v>588.35200000000157</v>
      </c>
      <c r="AJ158">
        <f>'FOB Data'!AA170</f>
        <v>2.5360000000000067</v>
      </c>
    </row>
    <row r="159" spans="2:36">
      <c r="B159">
        <f t="shared" si="40"/>
        <v>233</v>
      </c>
      <c r="C159">
        <f t="shared" si="36"/>
        <v>567.12200000000166</v>
      </c>
      <c r="D159">
        <f>'FOB Data'!C171</f>
        <v>2.4340000000000073</v>
      </c>
      <c r="F159">
        <f t="shared" si="41"/>
        <v>233</v>
      </c>
      <c r="G159">
        <f t="shared" si="37"/>
        <v>582.5</v>
      </c>
      <c r="H159">
        <f>'FOB Data'!F171</f>
        <v>2.5</v>
      </c>
      <c r="J159">
        <f>'FOB Data'!H171</f>
        <v>233</v>
      </c>
      <c r="K159">
        <f t="shared" si="38"/>
        <v>493.23769999999894</v>
      </c>
      <c r="L159">
        <f>'FOB Data'!I171</f>
        <v>2.1168999999999953</v>
      </c>
      <c r="N159">
        <f>'FOB Data'!K171</f>
        <v>233</v>
      </c>
      <c r="O159">
        <f t="shared" si="39"/>
        <v>559.19999999999993</v>
      </c>
      <c r="P159">
        <f>'FOB Data'!L171</f>
        <v>2.4</v>
      </c>
      <c r="R159">
        <f>'FOB Data'!N171</f>
        <v>233</v>
      </c>
      <c r="S159">
        <f t="shared" si="28"/>
        <v>559.19999999999993</v>
      </c>
      <c r="T159">
        <f>'FOB Data'!O171</f>
        <v>2.4</v>
      </c>
      <c r="V159">
        <f>'FOB Data'!Q171</f>
        <v>233</v>
      </c>
      <c r="W159">
        <f t="shared" si="29"/>
        <v>419.40000000000003</v>
      </c>
      <c r="X159">
        <f>'FOB Data'!R171</f>
        <v>1.8</v>
      </c>
      <c r="Z159">
        <f t="shared" si="30"/>
        <v>233</v>
      </c>
      <c r="AA159">
        <f t="shared" si="31"/>
        <v>489.3</v>
      </c>
      <c r="AB159">
        <f>'FOB Data'!U171</f>
        <v>2.1</v>
      </c>
      <c r="AD159">
        <f t="shared" si="32"/>
        <v>233</v>
      </c>
      <c r="AE159">
        <f t="shared" si="33"/>
        <v>652.4</v>
      </c>
      <c r="AF159">
        <f>'FOB Data'!X171</f>
        <v>2.8</v>
      </c>
      <c r="AH159">
        <f t="shared" si="34"/>
        <v>233</v>
      </c>
      <c r="AI159">
        <f t="shared" si="35"/>
        <v>590.42200000000162</v>
      </c>
      <c r="AJ159">
        <f>'FOB Data'!AA171</f>
        <v>2.5340000000000069</v>
      </c>
    </row>
    <row r="160" spans="2:36">
      <c r="B160">
        <f t="shared" si="40"/>
        <v>234</v>
      </c>
      <c r="C160">
        <f t="shared" si="36"/>
        <v>569.08800000000178</v>
      </c>
      <c r="D160">
        <f>'FOB Data'!C172</f>
        <v>2.4320000000000075</v>
      </c>
      <c r="F160">
        <f t="shared" si="41"/>
        <v>234</v>
      </c>
      <c r="G160">
        <f t="shared" si="37"/>
        <v>585</v>
      </c>
      <c r="H160">
        <f>'FOB Data'!F172</f>
        <v>2.5</v>
      </c>
      <c r="J160">
        <f>'FOB Data'!H172</f>
        <v>234</v>
      </c>
      <c r="K160">
        <f t="shared" si="38"/>
        <v>495.19079999999889</v>
      </c>
      <c r="L160">
        <f>'FOB Data'!I172</f>
        <v>2.1161999999999952</v>
      </c>
      <c r="N160">
        <f>'FOB Data'!K172</f>
        <v>234</v>
      </c>
      <c r="O160">
        <f t="shared" si="39"/>
        <v>561.6</v>
      </c>
      <c r="P160">
        <f>'FOB Data'!L172</f>
        <v>2.4</v>
      </c>
      <c r="R160">
        <f>'FOB Data'!N172</f>
        <v>234</v>
      </c>
      <c r="S160">
        <f t="shared" si="28"/>
        <v>561.6</v>
      </c>
      <c r="T160">
        <f>'FOB Data'!O172</f>
        <v>2.4</v>
      </c>
      <c r="V160">
        <f>'FOB Data'!Q172</f>
        <v>234</v>
      </c>
      <c r="W160">
        <f t="shared" si="29"/>
        <v>421.2</v>
      </c>
      <c r="X160">
        <f>'FOB Data'!R172</f>
        <v>1.8</v>
      </c>
      <c r="Z160">
        <f t="shared" si="30"/>
        <v>234</v>
      </c>
      <c r="AA160">
        <f t="shared" si="31"/>
        <v>491.40000000000003</v>
      </c>
      <c r="AB160">
        <f>'FOB Data'!U172</f>
        <v>2.1</v>
      </c>
      <c r="AD160">
        <f t="shared" si="32"/>
        <v>234</v>
      </c>
      <c r="AE160">
        <f t="shared" si="33"/>
        <v>655.19999999999993</v>
      </c>
      <c r="AF160">
        <f>'FOB Data'!X172</f>
        <v>2.8</v>
      </c>
      <c r="AH160">
        <f t="shared" si="34"/>
        <v>234</v>
      </c>
      <c r="AI160">
        <f t="shared" si="35"/>
        <v>592.48800000000165</v>
      </c>
      <c r="AJ160">
        <f>'FOB Data'!AA172</f>
        <v>2.5320000000000071</v>
      </c>
    </row>
    <row r="161" spans="2:36">
      <c r="B161">
        <f t="shared" si="40"/>
        <v>235</v>
      </c>
      <c r="C161">
        <f t="shared" si="36"/>
        <v>571.05000000000177</v>
      </c>
      <c r="D161">
        <f>'FOB Data'!C173</f>
        <v>2.4300000000000077</v>
      </c>
      <c r="F161">
        <f t="shared" si="41"/>
        <v>235</v>
      </c>
      <c r="G161">
        <f t="shared" si="37"/>
        <v>587.5</v>
      </c>
      <c r="H161">
        <f>'FOB Data'!F173</f>
        <v>2.5</v>
      </c>
      <c r="J161">
        <f>'FOB Data'!H173</f>
        <v>235</v>
      </c>
      <c r="K161">
        <f t="shared" si="38"/>
        <v>497.14249999999885</v>
      </c>
      <c r="L161">
        <f>'FOB Data'!I173</f>
        <v>2.1154999999999951</v>
      </c>
      <c r="N161">
        <f>'FOB Data'!K173</f>
        <v>235</v>
      </c>
      <c r="O161">
        <f t="shared" si="39"/>
        <v>564</v>
      </c>
      <c r="P161">
        <f>'FOB Data'!L173</f>
        <v>2.4</v>
      </c>
      <c r="R161">
        <f>'FOB Data'!N173</f>
        <v>235</v>
      </c>
      <c r="S161">
        <f t="shared" si="28"/>
        <v>564</v>
      </c>
      <c r="T161">
        <f>'FOB Data'!O173</f>
        <v>2.4</v>
      </c>
      <c r="V161">
        <f>'FOB Data'!Q173</f>
        <v>235</v>
      </c>
      <c r="W161">
        <f t="shared" si="29"/>
        <v>423</v>
      </c>
      <c r="X161">
        <f>'FOB Data'!R173</f>
        <v>1.8</v>
      </c>
      <c r="Z161">
        <f t="shared" si="30"/>
        <v>235</v>
      </c>
      <c r="AA161">
        <f t="shared" si="31"/>
        <v>493.5</v>
      </c>
      <c r="AB161">
        <f>'FOB Data'!U173</f>
        <v>2.1</v>
      </c>
      <c r="AD161">
        <f t="shared" si="32"/>
        <v>235</v>
      </c>
      <c r="AE161">
        <f t="shared" si="33"/>
        <v>658</v>
      </c>
      <c r="AF161">
        <f>'FOB Data'!X173</f>
        <v>2.8</v>
      </c>
      <c r="AH161">
        <f t="shared" si="34"/>
        <v>235</v>
      </c>
      <c r="AI161">
        <f t="shared" si="35"/>
        <v>594.55000000000177</v>
      </c>
      <c r="AJ161">
        <f>'FOB Data'!AA173</f>
        <v>2.5300000000000074</v>
      </c>
    </row>
    <row r="162" spans="2:36">
      <c r="B162">
        <f t="shared" si="40"/>
        <v>236</v>
      </c>
      <c r="C162">
        <f t="shared" si="36"/>
        <v>573.00800000000186</v>
      </c>
      <c r="D162">
        <f>'FOB Data'!C174</f>
        <v>2.4280000000000079</v>
      </c>
      <c r="F162">
        <f t="shared" si="41"/>
        <v>236</v>
      </c>
      <c r="G162">
        <f t="shared" si="37"/>
        <v>590</v>
      </c>
      <c r="H162">
        <f>'FOB Data'!F174</f>
        <v>2.5</v>
      </c>
      <c r="J162">
        <f>'FOB Data'!H174</f>
        <v>236</v>
      </c>
      <c r="K162">
        <f t="shared" si="38"/>
        <v>499.09279999999882</v>
      </c>
      <c r="L162">
        <f>'FOB Data'!I174</f>
        <v>2.1147999999999949</v>
      </c>
      <c r="N162">
        <f>'FOB Data'!K174</f>
        <v>236</v>
      </c>
      <c r="O162">
        <f t="shared" si="39"/>
        <v>566.4</v>
      </c>
      <c r="P162">
        <f>'FOB Data'!L174</f>
        <v>2.4</v>
      </c>
      <c r="R162">
        <f>'FOB Data'!N174</f>
        <v>236</v>
      </c>
      <c r="S162">
        <f t="shared" si="28"/>
        <v>566.4</v>
      </c>
      <c r="T162">
        <f>'FOB Data'!O174</f>
        <v>2.4</v>
      </c>
      <c r="V162">
        <f>'FOB Data'!Q174</f>
        <v>236</v>
      </c>
      <c r="W162">
        <f t="shared" si="29"/>
        <v>424.8</v>
      </c>
      <c r="X162">
        <f>'FOB Data'!R174</f>
        <v>1.8</v>
      </c>
      <c r="Z162">
        <f t="shared" si="30"/>
        <v>236</v>
      </c>
      <c r="AA162">
        <f t="shared" si="31"/>
        <v>495.6</v>
      </c>
      <c r="AB162">
        <f>'FOB Data'!U174</f>
        <v>2.1</v>
      </c>
      <c r="AD162">
        <f t="shared" si="32"/>
        <v>236</v>
      </c>
      <c r="AE162">
        <f t="shared" si="33"/>
        <v>660.8</v>
      </c>
      <c r="AF162">
        <f>'FOB Data'!X174</f>
        <v>2.8</v>
      </c>
      <c r="AH162">
        <f t="shared" si="34"/>
        <v>236</v>
      </c>
      <c r="AI162">
        <f t="shared" si="35"/>
        <v>596.60800000000177</v>
      </c>
      <c r="AJ162">
        <f>'FOB Data'!AA174</f>
        <v>2.5280000000000076</v>
      </c>
    </row>
    <row r="163" spans="2:36">
      <c r="B163">
        <f t="shared" si="40"/>
        <v>237</v>
      </c>
      <c r="C163">
        <f t="shared" si="36"/>
        <v>574.96200000000192</v>
      </c>
      <c r="D163">
        <f>'FOB Data'!C175</f>
        <v>2.4260000000000081</v>
      </c>
      <c r="F163">
        <f t="shared" si="41"/>
        <v>237</v>
      </c>
      <c r="G163">
        <f t="shared" si="37"/>
        <v>592.5</v>
      </c>
      <c r="H163">
        <f>'FOB Data'!F175</f>
        <v>2.5</v>
      </c>
      <c r="J163">
        <f>'FOB Data'!H175</f>
        <v>237</v>
      </c>
      <c r="K163">
        <f t="shared" si="38"/>
        <v>501.04169999999874</v>
      </c>
      <c r="L163">
        <f>'FOB Data'!I175</f>
        <v>2.1140999999999948</v>
      </c>
      <c r="N163">
        <f>'FOB Data'!K175</f>
        <v>237</v>
      </c>
      <c r="O163">
        <f t="shared" si="39"/>
        <v>568.79999999999995</v>
      </c>
      <c r="P163">
        <f>'FOB Data'!L175</f>
        <v>2.4</v>
      </c>
      <c r="R163">
        <f>'FOB Data'!N175</f>
        <v>237</v>
      </c>
      <c r="S163">
        <f t="shared" si="28"/>
        <v>568.79999999999995</v>
      </c>
      <c r="T163">
        <f>'FOB Data'!O175</f>
        <v>2.4</v>
      </c>
      <c r="V163">
        <f>'FOB Data'!Q175</f>
        <v>237</v>
      </c>
      <c r="W163">
        <f t="shared" si="29"/>
        <v>426.6</v>
      </c>
      <c r="X163">
        <f>'FOB Data'!R175</f>
        <v>1.8</v>
      </c>
      <c r="Z163">
        <f t="shared" si="30"/>
        <v>237</v>
      </c>
      <c r="AA163">
        <f t="shared" si="31"/>
        <v>497.70000000000005</v>
      </c>
      <c r="AB163">
        <f>'FOB Data'!U175</f>
        <v>2.1</v>
      </c>
      <c r="AD163">
        <f t="shared" si="32"/>
        <v>237</v>
      </c>
      <c r="AE163">
        <f t="shared" si="33"/>
        <v>663.59999999999991</v>
      </c>
      <c r="AF163">
        <f>'FOB Data'!X175</f>
        <v>2.8</v>
      </c>
      <c r="AH163">
        <f t="shared" si="34"/>
        <v>237</v>
      </c>
      <c r="AI163">
        <f t="shared" si="35"/>
        <v>598.66200000000185</v>
      </c>
      <c r="AJ163">
        <f>'FOB Data'!AA175</f>
        <v>2.5260000000000078</v>
      </c>
    </row>
    <row r="164" spans="2:36">
      <c r="B164">
        <f t="shared" si="40"/>
        <v>238</v>
      </c>
      <c r="C164">
        <f t="shared" si="36"/>
        <v>576.91200000000197</v>
      </c>
      <c r="D164">
        <f>'FOB Data'!C176</f>
        <v>2.4240000000000084</v>
      </c>
      <c r="F164">
        <f t="shared" si="41"/>
        <v>238</v>
      </c>
      <c r="G164">
        <f t="shared" si="37"/>
        <v>595</v>
      </c>
      <c r="H164">
        <f>'FOB Data'!F176</f>
        <v>2.5</v>
      </c>
      <c r="J164">
        <f>'FOB Data'!H176</f>
        <v>238</v>
      </c>
      <c r="K164">
        <f t="shared" si="38"/>
        <v>502.98919999999873</v>
      </c>
      <c r="L164">
        <f>'FOB Data'!I176</f>
        <v>2.1133999999999946</v>
      </c>
      <c r="N164">
        <f>'FOB Data'!K176</f>
        <v>238</v>
      </c>
      <c r="O164">
        <f t="shared" si="39"/>
        <v>571.19999999999993</v>
      </c>
      <c r="P164">
        <f>'FOB Data'!L176</f>
        <v>2.4</v>
      </c>
      <c r="R164">
        <f>'FOB Data'!N176</f>
        <v>238</v>
      </c>
      <c r="S164">
        <f t="shared" si="28"/>
        <v>571.19999999999993</v>
      </c>
      <c r="T164">
        <f>'FOB Data'!O176</f>
        <v>2.4</v>
      </c>
      <c r="V164">
        <f>'FOB Data'!Q176</f>
        <v>238</v>
      </c>
      <c r="W164">
        <f t="shared" si="29"/>
        <v>428.40000000000003</v>
      </c>
      <c r="X164">
        <f>'FOB Data'!R176</f>
        <v>1.8</v>
      </c>
      <c r="Z164">
        <f t="shared" si="30"/>
        <v>238</v>
      </c>
      <c r="AA164">
        <f t="shared" si="31"/>
        <v>499.8</v>
      </c>
      <c r="AB164">
        <f>'FOB Data'!U176</f>
        <v>2.1</v>
      </c>
      <c r="AD164">
        <f t="shared" si="32"/>
        <v>238</v>
      </c>
      <c r="AE164">
        <f t="shared" si="33"/>
        <v>666.4</v>
      </c>
      <c r="AF164">
        <f>'FOB Data'!X176</f>
        <v>2.8</v>
      </c>
      <c r="AH164">
        <f t="shared" si="34"/>
        <v>238</v>
      </c>
      <c r="AI164">
        <f t="shared" si="35"/>
        <v>600.71200000000192</v>
      </c>
      <c r="AJ164">
        <f>'FOB Data'!AA176</f>
        <v>2.524000000000008</v>
      </c>
    </row>
    <row r="165" spans="2:36">
      <c r="B165">
        <f t="shared" si="40"/>
        <v>239</v>
      </c>
      <c r="C165">
        <f t="shared" si="36"/>
        <v>578.85800000000211</v>
      </c>
      <c r="D165">
        <f>'FOB Data'!C177</f>
        <v>2.4220000000000086</v>
      </c>
      <c r="F165">
        <f t="shared" si="41"/>
        <v>239</v>
      </c>
      <c r="G165">
        <f t="shared" si="37"/>
        <v>597.5</v>
      </c>
      <c r="H165">
        <f>'FOB Data'!F177</f>
        <v>2.5</v>
      </c>
      <c r="J165">
        <f>'FOB Data'!H177</f>
        <v>239</v>
      </c>
      <c r="K165">
        <f t="shared" si="38"/>
        <v>504.93529999999868</v>
      </c>
      <c r="L165">
        <f>'FOB Data'!I177</f>
        <v>2.1126999999999945</v>
      </c>
      <c r="N165">
        <f>'FOB Data'!K177</f>
        <v>239</v>
      </c>
      <c r="O165">
        <f t="shared" si="39"/>
        <v>573.6</v>
      </c>
      <c r="P165">
        <f>'FOB Data'!L177</f>
        <v>2.4</v>
      </c>
      <c r="R165">
        <f>'FOB Data'!N177</f>
        <v>239</v>
      </c>
      <c r="S165">
        <f t="shared" si="28"/>
        <v>573.6</v>
      </c>
      <c r="T165">
        <f>'FOB Data'!O177</f>
        <v>2.4</v>
      </c>
      <c r="V165">
        <f>'FOB Data'!Q177</f>
        <v>239</v>
      </c>
      <c r="W165">
        <f t="shared" si="29"/>
        <v>430.2</v>
      </c>
      <c r="X165">
        <f>'FOB Data'!R177</f>
        <v>1.8</v>
      </c>
      <c r="Z165">
        <f t="shared" si="30"/>
        <v>239</v>
      </c>
      <c r="AA165">
        <f t="shared" si="31"/>
        <v>501.90000000000003</v>
      </c>
      <c r="AB165">
        <f>'FOB Data'!U177</f>
        <v>2.1</v>
      </c>
      <c r="AD165">
        <f t="shared" si="32"/>
        <v>239</v>
      </c>
      <c r="AE165">
        <f t="shared" si="33"/>
        <v>669.19999999999993</v>
      </c>
      <c r="AF165">
        <f>'FOB Data'!X177</f>
        <v>2.8</v>
      </c>
      <c r="AH165">
        <f t="shared" si="34"/>
        <v>239</v>
      </c>
      <c r="AI165">
        <f t="shared" si="35"/>
        <v>602.75800000000197</v>
      </c>
      <c r="AJ165">
        <f>'FOB Data'!AA177</f>
        <v>2.5220000000000082</v>
      </c>
    </row>
    <row r="166" spans="2:36">
      <c r="B166">
        <f t="shared" si="40"/>
        <v>240</v>
      </c>
      <c r="C166">
        <f t="shared" si="36"/>
        <v>580.80000000000211</v>
      </c>
      <c r="D166">
        <f>'FOB Data'!C178</f>
        <v>2.4200000000000088</v>
      </c>
      <c r="F166">
        <f t="shared" si="41"/>
        <v>240</v>
      </c>
      <c r="G166">
        <f t="shared" si="37"/>
        <v>600</v>
      </c>
      <c r="H166">
        <f>'FOB Data'!F178</f>
        <v>2.5</v>
      </c>
      <c r="J166">
        <f>'FOB Data'!H178</f>
        <v>240</v>
      </c>
      <c r="K166">
        <f t="shared" si="38"/>
        <v>506.87999999999863</v>
      </c>
      <c r="L166">
        <f>'FOB Data'!I178</f>
        <v>2.1119999999999943</v>
      </c>
      <c r="N166">
        <f>'FOB Data'!K178</f>
        <v>240</v>
      </c>
      <c r="O166">
        <f t="shared" si="39"/>
        <v>576</v>
      </c>
      <c r="P166">
        <f>'FOB Data'!L178</f>
        <v>2.4</v>
      </c>
      <c r="R166">
        <f>'FOB Data'!N178</f>
        <v>240</v>
      </c>
      <c r="S166">
        <f t="shared" si="28"/>
        <v>576</v>
      </c>
      <c r="T166">
        <f>'FOB Data'!O178</f>
        <v>2.4</v>
      </c>
      <c r="V166">
        <f>'FOB Data'!Q178</f>
        <v>240</v>
      </c>
      <c r="W166">
        <f t="shared" si="29"/>
        <v>432</v>
      </c>
      <c r="X166">
        <f>'FOB Data'!R178</f>
        <v>1.8</v>
      </c>
      <c r="Z166">
        <f t="shared" si="30"/>
        <v>240</v>
      </c>
      <c r="AA166">
        <f t="shared" si="31"/>
        <v>504</v>
      </c>
      <c r="AB166">
        <f>'FOB Data'!U178</f>
        <v>2.1</v>
      </c>
      <c r="AD166">
        <f t="shared" si="32"/>
        <v>240</v>
      </c>
      <c r="AE166">
        <f t="shared" si="33"/>
        <v>672</v>
      </c>
      <c r="AF166">
        <f>'FOB Data'!X178</f>
        <v>2.8</v>
      </c>
      <c r="AH166">
        <f t="shared" si="34"/>
        <v>240</v>
      </c>
      <c r="AI166">
        <f t="shared" si="35"/>
        <v>604.800000000002</v>
      </c>
      <c r="AJ166">
        <f>'FOB Data'!AA178</f>
        <v>2.5200000000000085</v>
      </c>
    </row>
    <row r="167" spans="2:36">
      <c r="B167">
        <f t="shared" si="40"/>
        <v>241</v>
      </c>
      <c r="C167">
        <f t="shared" si="36"/>
        <v>582.73800000000222</v>
      </c>
      <c r="D167">
        <f>'FOB Data'!C179</f>
        <v>2.418000000000009</v>
      </c>
      <c r="F167">
        <f t="shared" si="41"/>
        <v>241</v>
      </c>
      <c r="G167">
        <f t="shared" si="37"/>
        <v>602.5</v>
      </c>
      <c r="H167">
        <f>'FOB Data'!F179</f>
        <v>2.5</v>
      </c>
      <c r="J167">
        <f>'FOB Data'!H179</f>
        <v>241</v>
      </c>
      <c r="K167">
        <f t="shared" si="38"/>
        <v>508.8232999999986</v>
      </c>
      <c r="L167">
        <f>'FOB Data'!I179</f>
        <v>2.1112999999999942</v>
      </c>
      <c r="N167">
        <f>'FOB Data'!K179</f>
        <v>241</v>
      </c>
      <c r="O167">
        <f t="shared" si="39"/>
        <v>578.4</v>
      </c>
      <c r="P167">
        <f>'FOB Data'!L179</f>
        <v>2.4</v>
      </c>
      <c r="R167">
        <f>'FOB Data'!N179</f>
        <v>241</v>
      </c>
      <c r="S167">
        <f t="shared" si="28"/>
        <v>578.4</v>
      </c>
      <c r="T167">
        <f>'FOB Data'!O179</f>
        <v>2.4</v>
      </c>
      <c r="V167">
        <f>'FOB Data'!Q179</f>
        <v>241</v>
      </c>
      <c r="W167">
        <f t="shared" si="29"/>
        <v>433.8</v>
      </c>
      <c r="X167">
        <f>'FOB Data'!R179</f>
        <v>1.8</v>
      </c>
      <c r="Z167">
        <f t="shared" si="30"/>
        <v>241</v>
      </c>
      <c r="AA167">
        <f t="shared" si="31"/>
        <v>506.1</v>
      </c>
      <c r="AB167">
        <f>'FOB Data'!U179</f>
        <v>2.1</v>
      </c>
      <c r="AD167">
        <f t="shared" si="32"/>
        <v>241</v>
      </c>
      <c r="AE167">
        <f t="shared" si="33"/>
        <v>674.8</v>
      </c>
      <c r="AF167">
        <f>'FOB Data'!X179</f>
        <v>2.8</v>
      </c>
      <c r="AH167">
        <f t="shared" si="34"/>
        <v>241</v>
      </c>
      <c r="AI167">
        <f t="shared" si="35"/>
        <v>606.83800000000213</v>
      </c>
      <c r="AJ167">
        <f>'FOB Data'!AA179</f>
        <v>2.5180000000000087</v>
      </c>
    </row>
    <row r="168" spans="2:36">
      <c r="B168">
        <f t="shared" si="40"/>
        <v>242</v>
      </c>
      <c r="C168">
        <f t="shared" si="36"/>
        <v>584.67200000000219</v>
      </c>
      <c r="D168">
        <f>'FOB Data'!C180</f>
        <v>2.4160000000000093</v>
      </c>
      <c r="F168">
        <f t="shared" si="41"/>
        <v>242</v>
      </c>
      <c r="G168">
        <f t="shared" si="37"/>
        <v>605</v>
      </c>
      <c r="H168">
        <f>'FOB Data'!F180</f>
        <v>2.5</v>
      </c>
      <c r="J168">
        <f>'FOB Data'!H180</f>
        <v>242</v>
      </c>
      <c r="K168">
        <f t="shared" si="38"/>
        <v>510.76519999999857</v>
      </c>
      <c r="L168">
        <f>'FOB Data'!I180</f>
        <v>2.110599999999994</v>
      </c>
      <c r="N168">
        <f>'FOB Data'!K180</f>
        <v>242</v>
      </c>
      <c r="O168">
        <f t="shared" si="39"/>
        <v>580.79999999999995</v>
      </c>
      <c r="P168">
        <f>'FOB Data'!L180</f>
        <v>2.4</v>
      </c>
      <c r="R168">
        <f>'FOB Data'!N180</f>
        <v>242</v>
      </c>
      <c r="S168">
        <f t="shared" si="28"/>
        <v>580.79999999999995</v>
      </c>
      <c r="T168">
        <f>'FOB Data'!O180</f>
        <v>2.4</v>
      </c>
      <c r="V168">
        <f>'FOB Data'!Q180</f>
        <v>242</v>
      </c>
      <c r="W168">
        <f t="shared" si="29"/>
        <v>435.6</v>
      </c>
      <c r="X168">
        <f>'FOB Data'!R180</f>
        <v>1.8</v>
      </c>
      <c r="Z168">
        <f t="shared" si="30"/>
        <v>242</v>
      </c>
      <c r="AA168">
        <f t="shared" si="31"/>
        <v>508.20000000000005</v>
      </c>
      <c r="AB168">
        <f>'FOB Data'!U180</f>
        <v>2.1</v>
      </c>
      <c r="AD168">
        <f t="shared" si="32"/>
        <v>242</v>
      </c>
      <c r="AE168">
        <f t="shared" si="33"/>
        <v>677.59999999999991</v>
      </c>
      <c r="AF168">
        <f>'FOB Data'!X180</f>
        <v>2.8</v>
      </c>
      <c r="AH168">
        <f t="shared" si="34"/>
        <v>242</v>
      </c>
      <c r="AI168">
        <f t="shared" si="35"/>
        <v>608.87200000000212</v>
      </c>
      <c r="AJ168">
        <f>'FOB Data'!AA180</f>
        <v>2.5160000000000089</v>
      </c>
    </row>
    <row r="169" spans="2:36">
      <c r="B169">
        <f t="shared" si="40"/>
        <v>243</v>
      </c>
      <c r="C169">
        <f t="shared" si="36"/>
        <v>586.60200000000225</v>
      </c>
      <c r="D169">
        <f>'FOB Data'!C181</f>
        <v>2.4140000000000095</v>
      </c>
      <c r="F169">
        <f t="shared" si="41"/>
        <v>243</v>
      </c>
      <c r="G169">
        <f t="shared" si="37"/>
        <v>607.5</v>
      </c>
      <c r="H169">
        <f>'FOB Data'!F181</f>
        <v>2.5</v>
      </c>
      <c r="J169">
        <f>'FOB Data'!H181</f>
        <v>243</v>
      </c>
      <c r="K169">
        <f t="shared" si="38"/>
        <v>512.7056999999985</v>
      </c>
      <c r="L169">
        <f>'FOB Data'!I181</f>
        <v>2.1098999999999939</v>
      </c>
      <c r="N169">
        <f>'FOB Data'!K181</f>
        <v>243</v>
      </c>
      <c r="O169">
        <f t="shared" si="39"/>
        <v>583.19999999999993</v>
      </c>
      <c r="P169">
        <f>'FOB Data'!L181</f>
        <v>2.4</v>
      </c>
      <c r="R169">
        <f>'FOB Data'!N181</f>
        <v>243</v>
      </c>
      <c r="S169">
        <f t="shared" si="28"/>
        <v>583.19999999999993</v>
      </c>
      <c r="T169">
        <f>'FOB Data'!O181</f>
        <v>2.4</v>
      </c>
      <c r="V169">
        <f>'FOB Data'!Q181</f>
        <v>243</v>
      </c>
      <c r="W169">
        <f t="shared" si="29"/>
        <v>437.40000000000003</v>
      </c>
      <c r="X169">
        <f>'FOB Data'!R181</f>
        <v>1.8</v>
      </c>
      <c r="Z169">
        <f t="shared" si="30"/>
        <v>243</v>
      </c>
      <c r="AA169">
        <f t="shared" si="31"/>
        <v>510.3</v>
      </c>
      <c r="AB169">
        <f>'FOB Data'!U181</f>
        <v>2.1</v>
      </c>
      <c r="AD169">
        <f t="shared" si="32"/>
        <v>243</v>
      </c>
      <c r="AE169">
        <f t="shared" si="33"/>
        <v>680.4</v>
      </c>
      <c r="AF169">
        <f>'FOB Data'!X181</f>
        <v>2.8</v>
      </c>
      <c r="AH169">
        <f t="shared" si="34"/>
        <v>243</v>
      </c>
      <c r="AI169">
        <f t="shared" si="35"/>
        <v>610.9020000000022</v>
      </c>
      <c r="AJ169">
        <f>'FOB Data'!AA181</f>
        <v>2.5140000000000091</v>
      </c>
    </row>
    <row r="170" spans="2:36">
      <c r="B170">
        <f t="shared" si="40"/>
        <v>244</v>
      </c>
      <c r="C170">
        <f t="shared" si="36"/>
        <v>588.52800000000241</v>
      </c>
      <c r="D170">
        <f>'FOB Data'!C182</f>
        <v>2.4120000000000097</v>
      </c>
      <c r="F170">
        <f t="shared" si="41"/>
        <v>244</v>
      </c>
      <c r="G170">
        <f t="shared" si="37"/>
        <v>610</v>
      </c>
      <c r="H170">
        <f>'FOB Data'!F182</f>
        <v>2.5</v>
      </c>
      <c r="J170">
        <f>'FOB Data'!H182</f>
        <v>244</v>
      </c>
      <c r="K170">
        <f t="shared" si="38"/>
        <v>514.64479999999844</v>
      </c>
      <c r="L170">
        <f>'FOB Data'!I182</f>
        <v>2.1091999999999937</v>
      </c>
      <c r="N170">
        <f>'FOB Data'!K182</f>
        <v>244</v>
      </c>
      <c r="O170">
        <f t="shared" si="39"/>
        <v>585.6</v>
      </c>
      <c r="P170">
        <f>'FOB Data'!L182</f>
        <v>2.4</v>
      </c>
      <c r="R170">
        <f>'FOB Data'!N182</f>
        <v>244</v>
      </c>
      <c r="S170">
        <f t="shared" si="28"/>
        <v>585.6</v>
      </c>
      <c r="T170">
        <f>'FOB Data'!O182</f>
        <v>2.4</v>
      </c>
      <c r="V170">
        <f>'FOB Data'!Q182</f>
        <v>244</v>
      </c>
      <c r="W170">
        <f t="shared" si="29"/>
        <v>439.2</v>
      </c>
      <c r="X170">
        <f>'FOB Data'!R182</f>
        <v>1.8</v>
      </c>
      <c r="Z170">
        <f t="shared" si="30"/>
        <v>244</v>
      </c>
      <c r="AA170">
        <f t="shared" si="31"/>
        <v>512.4</v>
      </c>
      <c r="AB170">
        <f>'FOB Data'!U182</f>
        <v>2.1</v>
      </c>
      <c r="AD170">
        <f t="shared" si="32"/>
        <v>244</v>
      </c>
      <c r="AE170">
        <f t="shared" si="33"/>
        <v>683.19999999999993</v>
      </c>
      <c r="AF170">
        <f>'FOB Data'!X182</f>
        <v>2.8</v>
      </c>
      <c r="AH170">
        <f t="shared" si="34"/>
        <v>244</v>
      </c>
      <c r="AI170">
        <f t="shared" si="35"/>
        <v>612.92800000000227</v>
      </c>
      <c r="AJ170">
        <f>'FOB Data'!AA182</f>
        <v>2.5120000000000093</v>
      </c>
    </row>
    <row r="171" spans="2:36">
      <c r="B171">
        <f t="shared" si="40"/>
        <v>245</v>
      </c>
      <c r="C171">
        <f t="shared" si="36"/>
        <v>590.45000000000243</v>
      </c>
      <c r="D171">
        <f>'FOB Data'!C183</f>
        <v>2.4100000000000099</v>
      </c>
      <c r="F171">
        <f t="shared" si="41"/>
        <v>245</v>
      </c>
      <c r="G171">
        <f t="shared" si="37"/>
        <v>612.5</v>
      </c>
      <c r="H171">
        <f>'FOB Data'!F183</f>
        <v>2.5</v>
      </c>
      <c r="J171">
        <f>'FOB Data'!H183</f>
        <v>245</v>
      </c>
      <c r="K171">
        <f t="shared" si="38"/>
        <v>516.58249999999839</v>
      </c>
      <c r="L171">
        <f>'FOB Data'!I183</f>
        <v>2.1084999999999936</v>
      </c>
      <c r="N171">
        <f>'FOB Data'!K183</f>
        <v>245</v>
      </c>
      <c r="O171">
        <f t="shared" si="39"/>
        <v>588</v>
      </c>
      <c r="P171">
        <f>'FOB Data'!L183</f>
        <v>2.4</v>
      </c>
      <c r="R171">
        <f>'FOB Data'!N183</f>
        <v>245</v>
      </c>
      <c r="S171">
        <f t="shared" si="28"/>
        <v>588</v>
      </c>
      <c r="T171">
        <f>'FOB Data'!O183</f>
        <v>2.4</v>
      </c>
      <c r="V171">
        <f>'FOB Data'!Q183</f>
        <v>245</v>
      </c>
      <c r="W171">
        <f t="shared" si="29"/>
        <v>441</v>
      </c>
      <c r="X171">
        <f>'FOB Data'!R183</f>
        <v>1.8</v>
      </c>
      <c r="Z171">
        <f t="shared" si="30"/>
        <v>245</v>
      </c>
      <c r="AA171">
        <f t="shared" si="31"/>
        <v>514.5</v>
      </c>
      <c r="AB171">
        <f>'FOB Data'!U183</f>
        <v>2.1</v>
      </c>
      <c r="AD171">
        <f t="shared" si="32"/>
        <v>245</v>
      </c>
      <c r="AE171">
        <f t="shared" si="33"/>
        <v>686</v>
      </c>
      <c r="AF171">
        <f>'FOB Data'!X183</f>
        <v>2.8</v>
      </c>
      <c r="AH171">
        <f t="shared" si="34"/>
        <v>245</v>
      </c>
      <c r="AI171">
        <f t="shared" si="35"/>
        <v>614.95000000000232</v>
      </c>
      <c r="AJ171">
        <f>'FOB Data'!AA183</f>
        <v>2.5100000000000096</v>
      </c>
    </row>
    <row r="172" spans="2:36">
      <c r="B172">
        <f t="shared" si="40"/>
        <v>246</v>
      </c>
      <c r="C172">
        <f t="shared" si="36"/>
        <v>592.36800000000244</v>
      </c>
      <c r="D172">
        <f>'FOB Data'!C184</f>
        <v>2.4080000000000101</v>
      </c>
      <c r="F172">
        <f t="shared" si="41"/>
        <v>246</v>
      </c>
      <c r="G172">
        <f t="shared" si="37"/>
        <v>615</v>
      </c>
      <c r="H172">
        <f>'FOB Data'!F184</f>
        <v>2.5</v>
      </c>
      <c r="J172">
        <f>'FOB Data'!H184</f>
        <v>246</v>
      </c>
      <c r="K172">
        <f t="shared" si="38"/>
        <v>518.51879999999835</v>
      </c>
      <c r="L172">
        <f>'FOB Data'!I184</f>
        <v>2.1077999999999935</v>
      </c>
      <c r="N172">
        <f>'FOB Data'!K184</f>
        <v>246</v>
      </c>
      <c r="O172">
        <f t="shared" si="39"/>
        <v>590.4</v>
      </c>
      <c r="P172">
        <f>'FOB Data'!L184</f>
        <v>2.4</v>
      </c>
      <c r="R172">
        <f>'FOB Data'!N184</f>
        <v>246</v>
      </c>
      <c r="S172">
        <f t="shared" si="28"/>
        <v>590.4</v>
      </c>
      <c r="T172">
        <f>'FOB Data'!O184</f>
        <v>2.4</v>
      </c>
      <c r="V172">
        <f>'FOB Data'!Q184</f>
        <v>246</v>
      </c>
      <c r="W172">
        <f t="shared" si="29"/>
        <v>442.8</v>
      </c>
      <c r="X172">
        <f>'FOB Data'!R184</f>
        <v>1.8</v>
      </c>
      <c r="Z172">
        <f t="shared" si="30"/>
        <v>246</v>
      </c>
      <c r="AA172">
        <f t="shared" si="31"/>
        <v>516.6</v>
      </c>
      <c r="AB172">
        <f>'FOB Data'!U184</f>
        <v>2.1</v>
      </c>
      <c r="AD172">
        <f t="shared" si="32"/>
        <v>246</v>
      </c>
      <c r="AE172">
        <f t="shared" si="33"/>
        <v>688.8</v>
      </c>
      <c r="AF172">
        <f>'FOB Data'!X184</f>
        <v>2.8</v>
      </c>
      <c r="AH172">
        <f t="shared" si="34"/>
        <v>246</v>
      </c>
      <c r="AI172">
        <f t="shared" si="35"/>
        <v>616.96800000000235</v>
      </c>
      <c r="AJ172">
        <f>'FOB Data'!AA184</f>
        <v>2.5080000000000098</v>
      </c>
    </row>
    <row r="173" spans="2:36">
      <c r="B173">
        <f t="shared" si="40"/>
        <v>247</v>
      </c>
      <c r="C173">
        <f t="shared" si="36"/>
        <v>594.28200000000254</v>
      </c>
      <c r="D173">
        <f>'FOB Data'!C185</f>
        <v>2.4060000000000104</v>
      </c>
      <c r="F173">
        <f t="shared" si="41"/>
        <v>247</v>
      </c>
      <c r="G173">
        <f t="shared" si="37"/>
        <v>617.5</v>
      </c>
      <c r="H173">
        <f>'FOB Data'!F185</f>
        <v>2.5</v>
      </c>
      <c r="J173">
        <f>'FOB Data'!H185</f>
        <v>247</v>
      </c>
      <c r="K173">
        <f t="shared" si="38"/>
        <v>520.45369999999832</v>
      </c>
      <c r="L173">
        <f>'FOB Data'!I185</f>
        <v>2.1070999999999933</v>
      </c>
      <c r="N173">
        <f>'FOB Data'!K185</f>
        <v>247</v>
      </c>
      <c r="O173">
        <f t="shared" si="39"/>
        <v>592.79999999999995</v>
      </c>
      <c r="P173">
        <f>'FOB Data'!L185</f>
        <v>2.4</v>
      </c>
      <c r="R173">
        <f>'FOB Data'!N185</f>
        <v>247</v>
      </c>
      <c r="S173">
        <f t="shared" si="28"/>
        <v>592.79999999999995</v>
      </c>
      <c r="T173">
        <f>'FOB Data'!O185</f>
        <v>2.4</v>
      </c>
      <c r="V173">
        <f>'FOB Data'!Q185</f>
        <v>247</v>
      </c>
      <c r="W173">
        <f t="shared" si="29"/>
        <v>444.6</v>
      </c>
      <c r="X173">
        <f>'FOB Data'!R185</f>
        <v>1.8</v>
      </c>
      <c r="Z173">
        <f t="shared" si="30"/>
        <v>247</v>
      </c>
      <c r="AA173">
        <f t="shared" si="31"/>
        <v>518.70000000000005</v>
      </c>
      <c r="AB173">
        <f>'FOB Data'!U185</f>
        <v>2.1</v>
      </c>
      <c r="AD173">
        <f t="shared" si="32"/>
        <v>247</v>
      </c>
      <c r="AE173">
        <f t="shared" si="33"/>
        <v>691.59999999999991</v>
      </c>
      <c r="AF173">
        <f>'FOB Data'!X185</f>
        <v>2.8</v>
      </c>
      <c r="AH173">
        <f t="shared" si="34"/>
        <v>247</v>
      </c>
      <c r="AI173">
        <f t="shared" si="35"/>
        <v>618.98200000000247</v>
      </c>
      <c r="AJ173">
        <f>'FOB Data'!AA185</f>
        <v>2.50600000000001</v>
      </c>
    </row>
    <row r="174" spans="2:36">
      <c r="B174">
        <f t="shared" si="40"/>
        <v>248</v>
      </c>
      <c r="C174">
        <f t="shared" si="36"/>
        <v>596.19200000000262</v>
      </c>
      <c r="D174">
        <f>'FOB Data'!C186</f>
        <v>2.4040000000000106</v>
      </c>
      <c r="F174">
        <f t="shared" si="41"/>
        <v>248</v>
      </c>
      <c r="G174">
        <f t="shared" si="37"/>
        <v>620</v>
      </c>
      <c r="H174">
        <f>'FOB Data'!F186</f>
        <v>2.5</v>
      </c>
      <c r="J174">
        <f>'FOB Data'!H186</f>
        <v>248</v>
      </c>
      <c r="K174">
        <f t="shared" si="38"/>
        <v>522.3871999999983</v>
      </c>
      <c r="L174">
        <f>'FOB Data'!I186</f>
        <v>2.1063999999999932</v>
      </c>
      <c r="N174">
        <f>'FOB Data'!K186</f>
        <v>248</v>
      </c>
      <c r="O174">
        <f t="shared" si="39"/>
        <v>595.19999999999993</v>
      </c>
      <c r="P174">
        <f>'FOB Data'!L186</f>
        <v>2.4</v>
      </c>
      <c r="R174">
        <f>'FOB Data'!N186</f>
        <v>248</v>
      </c>
      <c r="S174">
        <f t="shared" si="28"/>
        <v>595.19999999999993</v>
      </c>
      <c r="T174">
        <f>'FOB Data'!O186</f>
        <v>2.4</v>
      </c>
      <c r="V174">
        <f>'FOB Data'!Q186</f>
        <v>248</v>
      </c>
      <c r="W174">
        <f t="shared" si="29"/>
        <v>446.40000000000003</v>
      </c>
      <c r="X174">
        <f>'FOB Data'!R186</f>
        <v>1.8</v>
      </c>
      <c r="Z174">
        <f t="shared" si="30"/>
        <v>248</v>
      </c>
      <c r="AA174">
        <f t="shared" si="31"/>
        <v>520.80000000000007</v>
      </c>
      <c r="AB174">
        <f>'FOB Data'!U186</f>
        <v>2.1</v>
      </c>
      <c r="AD174">
        <f t="shared" si="32"/>
        <v>248</v>
      </c>
      <c r="AE174">
        <f t="shared" si="33"/>
        <v>694.4</v>
      </c>
      <c r="AF174">
        <f>'FOB Data'!X186</f>
        <v>2.8</v>
      </c>
      <c r="AH174">
        <f t="shared" si="34"/>
        <v>248</v>
      </c>
      <c r="AI174">
        <f t="shared" si="35"/>
        <v>620.99200000000258</v>
      </c>
      <c r="AJ174">
        <f>'FOB Data'!AA186</f>
        <v>2.5040000000000102</v>
      </c>
    </row>
    <row r="175" spans="2:36">
      <c r="B175">
        <f t="shared" si="40"/>
        <v>249</v>
      </c>
      <c r="C175">
        <f t="shared" si="36"/>
        <v>598.09800000000268</v>
      </c>
      <c r="D175">
        <f>'FOB Data'!C187</f>
        <v>2.4020000000000108</v>
      </c>
      <c r="F175">
        <f t="shared" si="41"/>
        <v>249</v>
      </c>
      <c r="G175">
        <f t="shared" si="37"/>
        <v>622.5</v>
      </c>
      <c r="H175">
        <f>'FOB Data'!F187</f>
        <v>2.5</v>
      </c>
      <c r="J175">
        <f>'FOB Data'!H187</f>
        <v>249</v>
      </c>
      <c r="K175">
        <f t="shared" si="38"/>
        <v>524.31929999999829</v>
      </c>
      <c r="L175">
        <f>'FOB Data'!I187</f>
        <v>2.105699999999993</v>
      </c>
      <c r="N175">
        <f>'FOB Data'!K187</f>
        <v>249</v>
      </c>
      <c r="O175">
        <f t="shared" si="39"/>
        <v>597.6</v>
      </c>
      <c r="P175">
        <f>'FOB Data'!L187</f>
        <v>2.4</v>
      </c>
      <c r="R175">
        <f>'FOB Data'!N187</f>
        <v>249</v>
      </c>
      <c r="S175">
        <f t="shared" si="28"/>
        <v>597.6</v>
      </c>
      <c r="T175">
        <f>'FOB Data'!O187</f>
        <v>2.4</v>
      </c>
      <c r="V175">
        <f>'FOB Data'!Q187</f>
        <v>249</v>
      </c>
      <c r="W175">
        <f t="shared" si="29"/>
        <v>448.2</v>
      </c>
      <c r="X175">
        <f>'FOB Data'!R187</f>
        <v>1.8</v>
      </c>
      <c r="Z175">
        <f t="shared" si="30"/>
        <v>249</v>
      </c>
      <c r="AA175">
        <f t="shared" si="31"/>
        <v>522.9</v>
      </c>
      <c r="AB175">
        <f>'FOB Data'!U187</f>
        <v>2.1</v>
      </c>
      <c r="AD175">
        <f t="shared" si="32"/>
        <v>249</v>
      </c>
      <c r="AE175">
        <f t="shared" si="33"/>
        <v>697.19999999999993</v>
      </c>
      <c r="AF175">
        <f>'FOB Data'!X187</f>
        <v>2.8</v>
      </c>
      <c r="AH175">
        <f t="shared" si="34"/>
        <v>249</v>
      </c>
      <c r="AI175">
        <f t="shared" si="35"/>
        <v>622.99800000000255</v>
      </c>
      <c r="AJ175">
        <f>'FOB Data'!AA187</f>
        <v>2.5020000000000104</v>
      </c>
    </row>
    <row r="176" spans="2:36">
      <c r="B176">
        <f t="shared" si="40"/>
        <v>250</v>
      </c>
      <c r="C176">
        <f t="shared" si="36"/>
        <v>600</v>
      </c>
      <c r="D176">
        <f>'FOB Data'!C188</f>
        <v>2.4</v>
      </c>
      <c r="F176">
        <f t="shared" si="41"/>
        <v>250</v>
      </c>
      <c r="G176">
        <f t="shared" si="37"/>
        <v>625</v>
      </c>
      <c r="H176">
        <f>'FOB Data'!F188</f>
        <v>2.5</v>
      </c>
      <c r="J176">
        <f>'FOB Data'!H188</f>
        <v>250</v>
      </c>
      <c r="K176">
        <f t="shared" si="38"/>
        <v>526.24999999999818</v>
      </c>
      <c r="L176">
        <f>'FOB Data'!I188</f>
        <v>2.1049999999999929</v>
      </c>
      <c r="N176">
        <f>'FOB Data'!K188</f>
        <v>250</v>
      </c>
      <c r="O176">
        <f t="shared" si="39"/>
        <v>600</v>
      </c>
      <c r="P176">
        <f>'FOB Data'!L188</f>
        <v>2.4</v>
      </c>
      <c r="R176">
        <f>'FOB Data'!N188</f>
        <v>250</v>
      </c>
      <c r="S176">
        <f t="shared" si="28"/>
        <v>600</v>
      </c>
      <c r="T176">
        <f>'FOB Data'!O188</f>
        <v>2.4</v>
      </c>
      <c r="V176">
        <f>'FOB Data'!Q188</f>
        <v>250</v>
      </c>
      <c r="W176">
        <f t="shared" si="29"/>
        <v>450</v>
      </c>
      <c r="X176">
        <f>'FOB Data'!R188</f>
        <v>1.8</v>
      </c>
      <c r="Z176">
        <f t="shared" si="30"/>
        <v>250</v>
      </c>
      <c r="AA176">
        <f t="shared" si="31"/>
        <v>525</v>
      </c>
      <c r="AB176">
        <f>'FOB Data'!U188</f>
        <v>2.1</v>
      </c>
      <c r="AD176">
        <f t="shared" si="32"/>
        <v>250</v>
      </c>
      <c r="AE176">
        <f t="shared" si="33"/>
        <v>700</v>
      </c>
      <c r="AF176">
        <f>'FOB Data'!X188</f>
        <v>2.8</v>
      </c>
      <c r="AH176">
        <f t="shared" si="34"/>
        <v>250</v>
      </c>
      <c r="AI176">
        <f t="shared" si="35"/>
        <v>625</v>
      </c>
      <c r="AJ176">
        <f>'FOB Data'!AA188</f>
        <v>2.5</v>
      </c>
    </row>
    <row r="177" spans="2:36">
      <c r="B177">
        <f t="shared" si="40"/>
        <v>251</v>
      </c>
      <c r="C177">
        <f t="shared" si="36"/>
        <v>602.4</v>
      </c>
      <c r="D177">
        <f>'FOB Data'!C189</f>
        <v>2.4</v>
      </c>
      <c r="F177">
        <f t="shared" si="41"/>
        <v>251</v>
      </c>
      <c r="G177">
        <f t="shared" si="37"/>
        <v>626.99800000000005</v>
      </c>
      <c r="H177">
        <f>'FOB Data'!F189</f>
        <v>2.4980000000000002</v>
      </c>
      <c r="J177">
        <f>'FOB Data'!H189</f>
        <v>251</v>
      </c>
      <c r="K177">
        <f t="shared" si="38"/>
        <v>528.17929999999819</v>
      </c>
      <c r="L177">
        <f>'FOB Data'!I189</f>
        <v>2.1042999999999927</v>
      </c>
      <c r="N177">
        <f>'FOB Data'!K189</f>
        <v>251</v>
      </c>
      <c r="O177">
        <f t="shared" si="39"/>
        <v>601.89800000000002</v>
      </c>
      <c r="P177">
        <f>'FOB Data'!L189</f>
        <v>2.3980000000000001</v>
      </c>
      <c r="R177">
        <f>'FOB Data'!N189</f>
        <v>251</v>
      </c>
      <c r="S177">
        <f t="shared" si="28"/>
        <v>601.89800000000002</v>
      </c>
      <c r="T177">
        <f>'FOB Data'!O189</f>
        <v>2.3980000000000001</v>
      </c>
      <c r="V177">
        <f>'FOB Data'!Q189</f>
        <v>251</v>
      </c>
      <c r="W177">
        <f t="shared" si="29"/>
        <v>451.298</v>
      </c>
      <c r="X177">
        <f>'FOB Data'!R189</f>
        <v>1.798</v>
      </c>
      <c r="Z177">
        <f t="shared" si="30"/>
        <v>251</v>
      </c>
      <c r="AA177">
        <f t="shared" si="31"/>
        <v>526.59800000000007</v>
      </c>
      <c r="AB177">
        <f>'FOB Data'!U189</f>
        <v>2.0980000000000003</v>
      </c>
      <c r="AD177">
        <f t="shared" si="32"/>
        <v>251</v>
      </c>
      <c r="AE177">
        <f t="shared" si="33"/>
        <v>702.298</v>
      </c>
      <c r="AF177">
        <f>'FOB Data'!X189</f>
        <v>2.798</v>
      </c>
      <c r="AH177">
        <f t="shared" si="34"/>
        <v>251</v>
      </c>
      <c r="AI177">
        <f t="shared" si="35"/>
        <v>626.99800000000005</v>
      </c>
      <c r="AJ177">
        <f>'FOB Data'!AA189</f>
        <v>2.4980000000000002</v>
      </c>
    </row>
    <row r="178" spans="2:36">
      <c r="B178">
        <f t="shared" si="40"/>
        <v>252</v>
      </c>
      <c r="C178">
        <f t="shared" si="36"/>
        <v>604.79999999999995</v>
      </c>
      <c r="D178">
        <f>'FOB Data'!C190</f>
        <v>2.4</v>
      </c>
      <c r="F178">
        <f t="shared" si="41"/>
        <v>252</v>
      </c>
      <c r="G178">
        <f t="shared" si="37"/>
        <v>628.99200000000008</v>
      </c>
      <c r="H178">
        <f>'FOB Data'!F190</f>
        <v>2.4960000000000004</v>
      </c>
      <c r="J178">
        <f>'FOB Data'!H190</f>
        <v>252</v>
      </c>
      <c r="K178">
        <f t="shared" si="38"/>
        <v>530.1071999999981</v>
      </c>
      <c r="L178">
        <f>'FOB Data'!I190</f>
        <v>2.1035999999999926</v>
      </c>
      <c r="N178">
        <f>'FOB Data'!K190</f>
        <v>252</v>
      </c>
      <c r="O178">
        <f t="shared" si="39"/>
        <v>603.79200000000014</v>
      </c>
      <c r="P178">
        <f>'FOB Data'!L190</f>
        <v>2.3960000000000004</v>
      </c>
      <c r="R178">
        <f>'FOB Data'!N190</f>
        <v>252</v>
      </c>
      <c r="S178">
        <f t="shared" si="28"/>
        <v>603.79200000000014</v>
      </c>
      <c r="T178">
        <f>'FOB Data'!O190</f>
        <v>2.3960000000000004</v>
      </c>
      <c r="V178">
        <f>'FOB Data'!Q190</f>
        <v>252</v>
      </c>
      <c r="W178">
        <f t="shared" si="29"/>
        <v>452.59199999999998</v>
      </c>
      <c r="X178">
        <f>'FOB Data'!R190</f>
        <v>1.796</v>
      </c>
      <c r="Z178">
        <f t="shared" si="30"/>
        <v>252</v>
      </c>
      <c r="AA178">
        <f t="shared" si="31"/>
        <v>528.19200000000012</v>
      </c>
      <c r="AB178">
        <f>'FOB Data'!U190</f>
        <v>2.0960000000000005</v>
      </c>
      <c r="AD178">
        <f t="shared" si="32"/>
        <v>252</v>
      </c>
      <c r="AE178">
        <f t="shared" si="33"/>
        <v>704.5920000000001</v>
      </c>
      <c r="AF178">
        <f>'FOB Data'!X190</f>
        <v>2.7960000000000003</v>
      </c>
      <c r="AH178">
        <f t="shared" si="34"/>
        <v>252</v>
      </c>
      <c r="AI178">
        <f t="shared" si="35"/>
        <v>628.99200000000008</v>
      </c>
      <c r="AJ178">
        <f>'FOB Data'!AA190</f>
        <v>2.4960000000000004</v>
      </c>
    </row>
    <row r="179" spans="2:36">
      <c r="B179">
        <f t="shared" si="40"/>
        <v>253</v>
      </c>
      <c r="C179">
        <f t="shared" si="36"/>
        <v>607.19999999999993</v>
      </c>
      <c r="D179">
        <f>'FOB Data'!C191</f>
        <v>2.4</v>
      </c>
      <c r="F179">
        <f t="shared" si="41"/>
        <v>253</v>
      </c>
      <c r="G179">
        <f t="shared" si="37"/>
        <v>630.9820000000002</v>
      </c>
      <c r="H179">
        <f>'FOB Data'!F191</f>
        <v>2.4940000000000007</v>
      </c>
      <c r="J179">
        <f>'FOB Data'!H191</f>
        <v>253</v>
      </c>
      <c r="K179">
        <f t="shared" si="38"/>
        <v>532.03369999999813</v>
      </c>
      <c r="L179">
        <f>'FOB Data'!I191</f>
        <v>2.1028999999999924</v>
      </c>
      <c r="N179">
        <f>'FOB Data'!K191</f>
        <v>253</v>
      </c>
      <c r="O179">
        <f t="shared" si="39"/>
        <v>605.68200000000013</v>
      </c>
      <c r="P179">
        <f>'FOB Data'!L191</f>
        <v>2.3940000000000006</v>
      </c>
      <c r="R179">
        <f>'FOB Data'!N191</f>
        <v>253</v>
      </c>
      <c r="S179">
        <f t="shared" si="28"/>
        <v>605.68200000000013</v>
      </c>
      <c r="T179">
        <f>'FOB Data'!O191</f>
        <v>2.3940000000000006</v>
      </c>
      <c r="V179">
        <f>'FOB Data'!Q191</f>
        <v>253</v>
      </c>
      <c r="W179">
        <f t="shared" si="29"/>
        <v>453.88200000000001</v>
      </c>
      <c r="X179">
        <f>'FOB Data'!R191</f>
        <v>1.794</v>
      </c>
      <c r="Z179">
        <f t="shared" si="30"/>
        <v>253</v>
      </c>
      <c r="AA179">
        <f t="shared" si="31"/>
        <v>529.78200000000015</v>
      </c>
      <c r="AB179">
        <f>'FOB Data'!U191</f>
        <v>2.0940000000000007</v>
      </c>
      <c r="AD179">
        <f t="shared" si="32"/>
        <v>253</v>
      </c>
      <c r="AE179">
        <f t="shared" si="33"/>
        <v>706.88200000000018</v>
      </c>
      <c r="AF179">
        <f>'FOB Data'!X191</f>
        <v>2.7940000000000005</v>
      </c>
      <c r="AH179">
        <f t="shared" si="34"/>
        <v>253</v>
      </c>
      <c r="AI179">
        <f t="shared" si="35"/>
        <v>630.9820000000002</v>
      </c>
      <c r="AJ179">
        <f>'FOB Data'!AA191</f>
        <v>2.4940000000000007</v>
      </c>
    </row>
    <row r="180" spans="2:36">
      <c r="B180">
        <f t="shared" si="40"/>
        <v>254</v>
      </c>
      <c r="C180">
        <f t="shared" si="36"/>
        <v>609.6</v>
      </c>
      <c r="D180">
        <f>'FOB Data'!C192</f>
        <v>2.4</v>
      </c>
      <c r="F180">
        <f t="shared" si="41"/>
        <v>254</v>
      </c>
      <c r="G180">
        <f t="shared" si="37"/>
        <v>632.96800000000019</v>
      </c>
      <c r="H180">
        <f>'FOB Data'!F192</f>
        <v>2.4920000000000009</v>
      </c>
      <c r="J180">
        <f>'FOB Data'!H192</f>
        <v>254</v>
      </c>
      <c r="K180">
        <f t="shared" si="38"/>
        <v>533.95879999999806</v>
      </c>
      <c r="L180">
        <f>'FOB Data'!I192</f>
        <v>2.1021999999999923</v>
      </c>
      <c r="N180">
        <f>'FOB Data'!K192</f>
        <v>254</v>
      </c>
      <c r="O180">
        <f t="shared" si="39"/>
        <v>607.56800000000021</v>
      </c>
      <c r="P180">
        <f>'FOB Data'!L192</f>
        <v>2.3920000000000008</v>
      </c>
      <c r="R180">
        <f>'FOB Data'!N192</f>
        <v>254</v>
      </c>
      <c r="S180">
        <f t="shared" si="28"/>
        <v>607.56800000000021</v>
      </c>
      <c r="T180">
        <f>'FOB Data'!O192</f>
        <v>2.3920000000000008</v>
      </c>
      <c r="V180">
        <f>'FOB Data'!Q192</f>
        <v>254</v>
      </c>
      <c r="W180">
        <f t="shared" si="29"/>
        <v>455.16800000000001</v>
      </c>
      <c r="X180">
        <f>'FOB Data'!R192</f>
        <v>1.792</v>
      </c>
      <c r="Z180">
        <f t="shared" si="30"/>
        <v>254</v>
      </c>
      <c r="AA180">
        <f t="shared" si="31"/>
        <v>531.36800000000028</v>
      </c>
      <c r="AB180">
        <f>'FOB Data'!U192</f>
        <v>2.092000000000001</v>
      </c>
      <c r="AD180">
        <f t="shared" si="32"/>
        <v>254</v>
      </c>
      <c r="AE180">
        <f t="shared" si="33"/>
        <v>709.16800000000023</v>
      </c>
      <c r="AF180">
        <f>'FOB Data'!X192</f>
        <v>2.7920000000000007</v>
      </c>
      <c r="AH180">
        <f t="shared" si="34"/>
        <v>254</v>
      </c>
      <c r="AI180">
        <f t="shared" si="35"/>
        <v>632.96800000000019</v>
      </c>
      <c r="AJ180">
        <f>'FOB Data'!AA192</f>
        <v>2.4920000000000009</v>
      </c>
    </row>
    <row r="181" spans="2:36">
      <c r="B181">
        <f t="shared" si="40"/>
        <v>255</v>
      </c>
      <c r="C181">
        <f t="shared" si="36"/>
        <v>612</v>
      </c>
      <c r="D181">
        <f>'FOB Data'!C193</f>
        <v>2.4</v>
      </c>
      <c r="F181">
        <f t="shared" si="41"/>
        <v>255</v>
      </c>
      <c r="G181">
        <f t="shared" si="37"/>
        <v>634.95000000000027</v>
      </c>
      <c r="H181">
        <f>'FOB Data'!F193</f>
        <v>2.4900000000000011</v>
      </c>
      <c r="J181">
        <f>'FOB Data'!H193</f>
        <v>255</v>
      </c>
      <c r="K181">
        <f t="shared" si="38"/>
        <v>535.882499999998</v>
      </c>
      <c r="L181">
        <f>'FOB Data'!I193</f>
        <v>2.1014999999999922</v>
      </c>
      <c r="N181">
        <f>'FOB Data'!K193</f>
        <v>255</v>
      </c>
      <c r="O181">
        <f t="shared" si="39"/>
        <v>609.45000000000027</v>
      </c>
      <c r="P181">
        <f>'FOB Data'!L193</f>
        <v>2.390000000000001</v>
      </c>
      <c r="R181">
        <f>'FOB Data'!N193</f>
        <v>255</v>
      </c>
      <c r="S181">
        <f t="shared" si="28"/>
        <v>609.45000000000027</v>
      </c>
      <c r="T181">
        <f>'FOB Data'!O193</f>
        <v>2.390000000000001</v>
      </c>
      <c r="V181">
        <f>'FOB Data'!Q193</f>
        <v>255</v>
      </c>
      <c r="W181">
        <f t="shared" si="29"/>
        <v>456.45</v>
      </c>
      <c r="X181">
        <f>'FOB Data'!R193</f>
        <v>1.79</v>
      </c>
      <c r="Z181">
        <f t="shared" si="30"/>
        <v>255</v>
      </c>
      <c r="AA181">
        <f t="shared" si="31"/>
        <v>532.95000000000027</v>
      </c>
      <c r="AB181">
        <f>'FOB Data'!U193</f>
        <v>2.0900000000000012</v>
      </c>
      <c r="AD181">
        <f t="shared" si="32"/>
        <v>255</v>
      </c>
      <c r="AE181">
        <f t="shared" si="33"/>
        <v>711.45000000000027</v>
      </c>
      <c r="AF181">
        <f>'FOB Data'!X193</f>
        <v>2.7900000000000009</v>
      </c>
      <c r="AH181">
        <f t="shared" si="34"/>
        <v>255</v>
      </c>
      <c r="AI181">
        <f t="shared" si="35"/>
        <v>634.95000000000027</v>
      </c>
      <c r="AJ181">
        <f>'FOB Data'!AA193</f>
        <v>2.4900000000000011</v>
      </c>
    </row>
    <row r="182" spans="2:36">
      <c r="B182">
        <f t="shared" si="40"/>
        <v>256</v>
      </c>
      <c r="C182">
        <f t="shared" si="36"/>
        <v>614.4</v>
      </c>
      <c r="D182">
        <f>'FOB Data'!C194</f>
        <v>2.4</v>
      </c>
      <c r="F182">
        <f t="shared" si="41"/>
        <v>256</v>
      </c>
      <c r="G182">
        <f t="shared" si="37"/>
        <v>636.92800000000034</v>
      </c>
      <c r="H182">
        <f>'FOB Data'!F194</f>
        <v>2.4880000000000013</v>
      </c>
      <c r="J182">
        <f>'FOB Data'!H194</f>
        <v>256</v>
      </c>
      <c r="K182">
        <f t="shared" si="38"/>
        <v>537.80479999999795</v>
      </c>
      <c r="L182">
        <f>'FOB Data'!I194</f>
        <v>2.100799999999992</v>
      </c>
      <c r="N182">
        <f>'FOB Data'!K194</f>
        <v>256</v>
      </c>
      <c r="O182">
        <f t="shared" si="39"/>
        <v>611.32800000000032</v>
      </c>
      <c r="P182">
        <f>'FOB Data'!L194</f>
        <v>2.3880000000000012</v>
      </c>
      <c r="R182">
        <f>'FOB Data'!N194</f>
        <v>256</v>
      </c>
      <c r="S182">
        <f t="shared" si="28"/>
        <v>611.32800000000032</v>
      </c>
      <c r="T182">
        <f>'FOB Data'!O194</f>
        <v>2.3880000000000012</v>
      </c>
      <c r="V182">
        <f>'FOB Data'!Q194</f>
        <v>256</v>
      </c>
      <c r="W182">
        <f t="shared" si="29"/>
        <v>457.72800000000001</v>
      </c>
      <c r="X182">
        <f>'FOB Data'!R194</f>
        <v>1.788</v>
      </c>
      <c r="Z182">
        <f t="shared" si="30"/>
        <v>256</v>
      </c>
      <c r="AA182">
        <f t="shared" si="31"/>
        <v>534.52800000000036</v>
      </c>
      <c r="AB182">
        <f>'FOB Data'!U194</f>
        <v>2.0880000000000014</v>
      </c>
      <c r="AD182">
        <f t="shared" si="32"/>
        <v>256</v>
      </c>
      <c r="AE182">
        <f t="shared" si="33"/>
        <v>713.72800000000029</v>
      </c>
      <c r="AF182">
        <f>'FOB Data'!X194</f>
        <v>2.7880000000000011</v>
      </c>
      <c r="AH182">
        <f t="shared" si="34"/>
        <v>256</v>
      </c>
      <c r="AI182">
        <f t="shared" si="35"/>
        <v>636.92800000000034</v>
      </c>
      <c r="AJ182">
        <f>'FOB Data'!AA194</f>
        <v>2.4880000000000013</v>
      </c>
    </row>
    <row r="183" spans="2:36">
      <c r="B183">
        <f t="shared" si="40"/>
        <v>257</v>
      </c>
      <c r="C183">
        <f t="shared" si="36"/>
        <v>616.79999999999995</v>
      </c>
      <c r="D183">
        <f>'FOB Data'!C195</f>
        <v>2.4</v>
      </c>
      <c r="F183">
        <f t="shared" si="41"/>
        <v>257</v>
      </c>
      <c r="G183">
        <f t="shared" si="37"/>
        <v>638.90200000000038</v>
      </c>
      <c r="H183">
        <f>'FOB Data'!F195</f>
        <v>2.4860000000000015</v>
      </c>
      <c r="J183">
        <f>'FOB Data'!H195</f>
        <v>257</v>
      </c>
      <c r="K183">
        <f t="shared" si="38"/>
        <v>539.72569999999791</v>
      </c>
      <c r="L183">
        <f>'FOB Data'!I195</f>
        <v>2.1000999999999919</v>
      </c>
      <c r="N183">
        <f>'FOB Data'!K195</f>
        <v>257</v>
      </c>
      <c r="O183">
        <f t="shared" si="39"/>
        <v>613.20200000000034</v>
      </c>
      <c r="P183">
        <f>'FOB Data'!L195</f>
        <v>2.3860000000000015</v>
      </c>
      <c r="R183">
        <f>'FOB Data'!N195</f>
        <v>257</v>
      </c>
      <c r="S183">
        <f t="shared" si="28"/>
        <v>613.20200000000034</v>
      </c>
      <c r="T183">
        <f>'FOB Data'!O195</f>
        <v>2.3860000000000015</v>
      </c>
      <c r="V183">
        <f>'FOB Data'!Q195</f>
        <v>257</v>
      </c>
      <c r="W183">
        <f t="shared" si="29"/>
        <v>459.00200000000001</v>
      </c>
      <c r="X183">
        <f>'FOB Data'!R195</f>
        <v>1.786</v>
      </c>
      <c r="Z183">
        <f t="shared" si="30"/>
        <v>257</v>
      </c>
      <c r="AA183">
        <f t="shared" si="31"/>
        <v>536.10200000000043</v>
      </c>
      <c r="AB183">
        <f>'FOB Data'!U195</f>
        <v>2.0860000000000016</v>
      </c>
      <c r="AD183">
        <f t="shared" si="32"/>
        <v>257</v>
      </c>
      <c r="AE183">
        <f t="shared" si="33"/>
        <v>716.00200000000041</v>
      </c>
      <c r="AF183">
        <f>'FOB Data'!X195</f>
        <v>2.7860000000000014</v>
      </c>
      <c r="AH183">
        <f t="shared" si="34"/>
        <v>257</v>
      </c>
      <c r="AI183">
        <f t="shared" si="35"/>
        <v>638.90200000000038</v>
      </c>
      <c r="AJ183">
        <f>'FOB Data'!AA195</f>
        <v>2.4860000000000015</v>
      </c>
    </row>
    <row r="184" spans="2:36">
      <c r="B184">
        <f t="shared" si="40"/>
        <v>258</v>
      </c>
      <c r="C184">
        <f t="shared" si="36"/>
        <v>619.19999999999993</v>
      </c>
      <c r="D184">
        <f>'FOB Data'!C196</f>
        <v>2.4</v>
      </c>
      <c r="F184">
        <f t="shared" si="41"/>
        <v>258</v>
      </c>
      <c r="G184">
        <f t="shared" si="37"/>
        <v>640.87200000000041</v>
      </c>
      <c r="H184">
        <f>'FOB Data'!F196</f>
        <v>2.4840000000000018</v>
      </c>
      <c r="J184">
        <f>'FOB Data'!H196</f>
        <v>258</v>
      </c>
      <c r="K184">
        <f t="shared" si="38"/>
        <v>541.64519999999789</v>
      </c>
      <c r="L184">
        <f>'FOB Data'!I196</f>
        <v>2.0993999999999917</v>
      </c>
      <c r="N184">
        <f>'FOB Data'!K196</f>
        <v>258</v>
      </c>
      <c r="O184">
        <f t="shared" si="39"/>
        <v>615.07200000000046</v>
      </c>
      <c r="P184">
        <f>'FOB Data'!L196</f>
        <v>2.3840000000000017</v>
      </c>
      <c r="R184">
        <f>'FOB Data'!N196</f>
        <v>258</v>
      </c>
      <c r="S184">
        <f t="shared" si="28"/>
        <v>615.07200000000046</v>
      </c>
      <c r="T184">
        <f>'FOB Data'!O196</f>
        <v>2.3840000000000017</v>
      </c>
      <c r="V184">
        <f>'FOB Data'!Q196</f>
        <v>258</v>
      </c>
      <c r="W184">
        <f t="shared" si="29"/>
        <v>460.27199999999999</v>
      </c>
      <c r="X184">
        <f>'FOB Data'!R196</f>
        <v>1.784</v>
      </c>
      <c r="Z184">
        <f t="shared" si="30"/>
        <v>258</v>
      </c>
      <c r="AA184">
        <f t="shared" si="31"/>
        <v>537.67200000000048</v>
      </c>
      <c r="AB184">
        <f>'FOB Data'!U196</f>
        <v>2.0840000000000019</v>
      </c>
      <c r="AD184">
        <f t="shared" si="32"/>
        <v>258</v>
      </c>
      <c r="AE184">
        <f t="shared" si="33"/>
        <v>718.27200000000039</v>
      </c>
      <c r="AF184">
        <f>'FOB Data'!X196</f>
        <v>2.7840000000000016</v>
      </c>
      <c r="AH184">
        <f t="shared" si="34"/>
        <v>258</v>
      </c>
      <c r="AI184">
        <f t="shared" si="35"/>
        <v>640.87200000000041</v>
      </c>
      <c r="AJ184">
        <f>'FOB Data'!AA196</f>
        <v>2.4840000000000018</v>
      </c>
    </row>
    <row r="185" spans="2:36">
      <c r="B185">
        <f t="shared" si="40"/>
        <v>259</v>
      </c>
      <c r="C185">
        <f t="shared" si="36"/>
        <v>621.6</v>
      </c>
      <c r="D185">
        <f>'FOB Data'!C197</f>
        <v>2.4</v>
      </c>
      <c r="F185">
        <f t="shared" si="41"/>
        <v>259</v>
      </c>
      <c r="G185">
        <f t="shared" si="37"/>
        <v>642.83800000000053</v>
      </c>
      <c r="H185">
        <f>'FOB Data'!F197</f>
        <v>2.482000000000002</v>
      </c>
      <c r="J185">
        <f>'FOB Data'!H197</f>
        <v>259</v>
      </c>
      <c r="K185">
        <f t="shared" si="38"/>
        <v>543.56329999999787</v>
      </c>
      <c r="L185">
        <f>'FOB Data'!I197</f>
        <v>2.0986999999999916</v>
      </c>
      <c r="N185">
        <f>'FOB Data'!K197</f>
        <v>259</v>
      </c>
      <c r="O185">
        <f t="shared" si="39"/>
        <v>616.93800000000044</v>
      </c>
      <c r="P185">
        <f>'FOB Data'!L197</f>
        <v>2.3820000000000019</v>
      </c>
      <c r="R185">
        <f>'FOB Data'!N197</f>
        <v>259</v>
      </c>
      <c r="S185">
        <f t="shared" si="28"/>
        <v>616.93800000000044</v>
      </c>
      <c r="T185">
        <f>'FOB Data'!O197</f>
        <v>2.3820000000000019</v>
      </c>
      <c r="V185">
        <f>'FOB Data'!Q197</f>
        <v>259</v>
      </c>
      <c r="W185">
        <f t="shared" si="29"/>
        <v>461.53800000000001</v>
      </c>
      <c r="X185">
        <f>'FOB Data'!R197</f>
        <v>1.782</v>
      </c>
      <c r="Z185">
        <f t="shared" si="30"/>
        <v>259</v>
      </c>
      <c r="AA185">
        <f t="shared" si="31"/>
        <v>539.23800000000051</v>
      </c>
      <c r="AB185">
        <f>'FOB Data'!U197</f>
        <v>2.0820000000000021</v>
      </c>
      <c r="AD185">
        <f t="shared" si="32"/>
        <v>259</v>
      </c>
      <c r="AE185">
        <f t="shared" si="33"/>
        <v>720.53800000000047</v>
      </c>
      <c r="AF185">
        <f>'FOB Data'!X197</f>
        <v>2.7820000000000018</v>
      </c>
      <c r="AH185">
        <f t="shared" si="34"/>
        <v>259</v>
      </c>
      <c r="AI185">
        <f t="shared" si="35"/>
        <v>642.83800000000053</v>
      </c>
      <c r="AJ185">
        <f>'FOB Data'!AA197</f>
        <v>2.482000000000002</v>
      </c>
    </row>
    <row r="186" spans="2:36">
      <c r="B186">
        <f t="shared" si="40"/>
        <v>260</v>
      </c>
      <c r="C186">
        <f t="shared" si="36"/>
        <v>624</v>
      </c>
      <c r="D186">
        <f>'FOB Data'!C198</f>
        <v>2.4</v>
      </c>
      <c r="F186">
        <f t="shared" si="41"/>
        <v>260</v>
      </c>
      <c r="G186">
        <f t="shared" si="37"/>
        <v>644.80000000000052</v>
      </c>
      <c r="H186">
        <f>'FOB Data'!F198</f>
        <v>2.4800000000000022</v>
      </c>
      <c r="J186">
        <f>'FOB Data'!H198</f>
        <v>260</v>
      </c>
      <c r="K186">
        <f t="shared" si="38"/>
        <v>545.47999999999774</v>
      </c>
      <c r="L186">
        <f>'FOB Data'!I198</f>
        <v>2.0979999999999914</v>
      </c>
      <c r="N186">
        <f>'FOB Data'!K198</f>
        <v>260</v>
      </c>
      <c r="O186">
        <f t="shared" si="39"/>
        <v>618.80000000000052</v>
      </c>
      <c r="P186">
        <f>'FOB Data'!L198</f>
        <v>2.3800000000000021</v>
      </c>
      <c r="R186">
        <f>'FOB Data'!N198</f>
        <v>260</v>
      </c>
      <c r="S186">
        <f t="shared" si="28"/>
        <v>618.80000000000052</v>
      </c>
      <c r="T186">
        <f>'FOB Data'!O198</f>
        <v>2.3800000000000021</v>
      </c>
      <c r="V186">
        <f>'FOB Data'!Q198</f>
        <v>260</v>
      </c>
      <c r="W186">
        <f t="shared" si="29"/>
        <v>462.8</v>
      </c>
      <c r="X186">
        <f>'FOB Data'!R198</f>
        <v>1.78</v>
      </c>
      <c r="Z186">
        <f t="shared" si="30"/>
        <v>260</v>
      </c>
      <c r="AA186">
        <f t="shared" si="31"/>
        <v>540.80000000000064</v>
      </c>
      <c r="AB186">
        <f>'FOB Data'!U198</f>
        <v>2.0800000000000023</v>
      </c>
      <c r="AD186">
        <f t="shared" si="32"/>
        <v>260</v>
      </c>
      <c r="AE186">
        <f t="shared" si="33"/>
        <v>722.80000000000052</v>
      </c>
      <c r="AF186">
        <f>'FOB Data'!X198</f>
        <v>2.780000000000002</v>
      </c>
      <c r="AH186">
        <f t="shared" si="34"/>
        <v>260</v>
      </c>
      <c r="AI186">
        <f t="shared" si="35"/>
        <v>644.80000000000052</v>
      </c>
      <c r="AJ186">
        <f>'FOB Data'!AA198</f>
        <v>2.4800000000000022</v>
      </c>
    </row>
    <row r="187" spans="2:36">
      <c r="B187">
        <f t="shared" si="40"/>
        <v>261</v>
      </c>
      <c r="C187">
        <f t="shared" si="36"/>
        <v>626.4</v>
      </c>
      <c r="D187">
        <f>'FOB Data'!C199</f>
        <v>2.4</v>
      </c>
      <c r="F187">
        <f t="shared" si="41"/>
        <v>261</v>
      </c>
      <c r="G187">
        <f t="shared" si="37"/>
        <v>646.75800000000061</v>
      </c>
      <c r="H187">
        <f>'FOB Data'!F199</f>
        <v>2.4780000000000024</v>
      </c>
      <c r="J187">
        <f>'FOB Data'!H199</f>
        <v>261</v>
      </c>
      <c r="K187">
        <f t="shared" si="38"/>
        <v>547.39529999999775</v>
      </c>
      <c r="L187">
        <f>'FOB Data'!I199</f>
        <v>2.0972999999999913</v>
      </c>
      <c r="N187">
        <f>'FOB Data'!K199</f>
        <v>261</v>
      </c>
      <c r="O187">
        <f t="shared" si="39"/>
        <v>620.65800000000058</v>
      </c>
      <c r="P187">
        <f>'FOB Data'!L199</f>
        <v>2.3780000000000023</v>
      </c>
      <c r="R187">
        <f>'FOB Data'!N199</f>
        <v>261</v>
      </c>
      <c r="S187">
        <f t="shared" si="28"/>
        <v>620.65800000000058</v>
      </c>
      <c r="T187">
        <f>'FOB Data'!O199</f>
        <v>2.3780000000000023</v>
      </c>
      <c r="V187">
        <f>'FOB Data'!Q199</f>
        <v>261</v>
      </c>
      <c r="W187">
        <f t="shared" si="29"/>
        <v>464.05799999999999</v>
      </c>
      <c r="X187">
        <f>'FOB Data'!R199</f>
        <v>1.778</v>
      </c>
      <c r="Z187">
        <f t="shared" si="30"/>
        <v>261</v>
      </c>
      <c r="AA187">
        <f t="shared" si="31"/>
        <v>542.35800000000063</v>
      </c>
      <c r="AB187">
        <f>'FOB Data'!U199</f>
        <v>2.0780000000000025</v>
      </c>
      <c r="AD187">
        <f t="shared" si="32"/>
        <v>261</v>
      </c>
      <c r="AE187">
        <f t="shared" si="33"/>
        <v>725.05800000000056</v>
      </c>
      <c r="AF187">
        <f>'FOB Data'!X199</f>
        <v>2.7780000000000022</v>
      </c>
      <c r="AH187">
        <f t="shared" si="34"/>
        <v>261</v>
      </c>
      <c r="AI187">
        <f t="shared" si="35"/>
        <v>646.75800000000061</v>
      </c>
      <c r="AJ187">
        <f>'FOB Data'!AA199</f>
        <v>2.4780000000000024</v>
      </c>
    </row>
    <row r="188" spans="2:36">
      <c r="B188">
        <f t="shared" si="40"/>
        <v>262</v>
      </c>
      <c r="C188">
        <f t="shared" si="36"/>
        <v>628.79999999999995</v>
      </c>
      <c r="D188">
        <f>'FOB Data'!C200</f>
        <v>2.4</v>
      </c>
      <c r="F188">
        <f t="shared" si="41"/>
        <v>262</v>
      </c>
      <c r="G188">
        <f t="shared" si="37"/>
        <v>648.71200000000067</v>
      </c>
      <c r="H188">
        <f>'FOB Data'!F200</f>
        <v>2.4760000000000026</v>
      </c>
      <c r="J188">
        <f>'FOB Data'!H200</f>
        <v>262</v>
      </c>
      <c r="K188">
        <f t="shared" si="38"/>
        <v>549.30919999999765</v>
      </c>
      <c r="L188">
        <f>'FOB Data'!I200</f>
        <v>2.0965999999999911</v>
      </c>
      <c r="N188">
        <f>'FOB Data'!K200</f>
        <v>262</v>
      </c>
      <c r="O188">
        <f t="shared" si="39"/>
        <v>622.51200000000063</v>
      </c>
      <c r="P188">
        <f>'FOB Data'!L200</f>
        <v>2.3760000000000026</v>
      </c>
      <c r="R188">
        <f>'FOB Data'!N200</f>
        <v>262</v>
      </c>
      <c r="S188">
        <f t="shared" si="28"/>
        <v>622.51200000000063</v>
      </c>
      <c r="T188">
        <f>'FOB Data'!O200</f>
        <v>2.3760000000000026</v>
      </c>
      <c r="V188">
        <f>'FOB Data'!Q200</f>
        <v>262</v>
      </c>
      <c r="W188">
        <f t="shared" si="29"/>
        <v>465.31200000000001</v>
      </c>
      <c r="X188">
        <f>'FOB Data'!R200</f>
        <v>1.776</v>
      </c>
      <c r="Z188">
        <f t="shared" si="30"/>
        <v>262</v>
      </c>
      <c r="AA188">
        <f t="shared" si="31"/>
        <v>543.91200000000072</v>
      </c>
      <c r="AB188">
        <f>'FOB Data'!U200</f>
        <v>2.0760000000000027</v>
      </c>
      <c r="AD188">
        <f t="shared" si="32"/>
        <v>262</v>
      </c>
      <c r="AE188">
        <f t="shared" si="33"/>
        <v>727.31200000000069</v>
      </c>
      <c r="AF188">
        <f>'FOB Data'!X200</f>
        <v>2.7760000000000025</v>
      </c>
      <c r="AH188">
        <f t="shared" si="34"/>
        <v>262</v>
      </c>
      <c r="AI188">
        <f t="shared" si="35"/>
        <v>648.71200000000067</v>
      </c>
      <c r="AJ188">
        <f>'FOB Data'!AA200</f>
        <v>2.4760000000000026</v>
      </c>
    </row>
    <row r="189" spans="2:36">
      <c r="B189">
        <f t="shared" si="40"/>
        <v>263</v>
      </c>
      <c r="C189">
        <f t="shared" si="36"/>
        <v>631.19999999999993</v>
      </c>
      <c r="D189">
        <f>'FOB Data'!C201</f>
        <v>2.4</v>
      </c>
      <c r="F189">
        <f t="shared" si="41"/>
        <v>263</v>
      </c>
      <c r="G189">
        <f t="shared" si="37"/>
        <v>650.66200000000072</v>
      </c>
      <c r="H189">
        <f>'FOB Data'!F201</f>
        <v>2.4740000000000029</v>
      </c>
      <c r="J189">
        <f>'FOB Data'!H201</f>
        <v>263</v>
      </c>
      <c r="K189">
        <f t="shared" si="38"/>
        <v>551.22169999999767</v>
      </c>
      <c r="L189">
        <f>'FOB Data'!I201</f>
        <v>2.095899999999991</v>
      </c>
      <c r="N189">
        <f>'FOB Data'!K201</f>
        <v>263</v>
      </c>
      <c r="O189">
        <f t="shared" si="39"/>
        <v>624.36200000000076</v>
      </c>
      <c r="P189">
        <f>'FOB Data'!L201</f>
        <v>2.3740000000000028</v>
      </c>
      <c r="R189">
        <f>'FOB Data'!N201</f>
        <v>263</v>
      </c>
      <c r="S189">
        <f t="shared" si="28"/>
        <v>624.36200000000076</v>
      </c>
      <c r="T189">
        <f>'FOB Data'!O201</f>
        <v>2.3740000000000028</v>
      </c>
      <c r="V189">
        <f>'FOB Data'!Q201</f>
        <v>263</v>
      </c>
      <c r="W189">
        <f t="shared" si="29"/>
        <v>466.56200000000001</v>
      </c>
      <c r="X189">
        <f>'FOB Data'!R201</f>
        <v>1.774</v>
      </c>
      <c r="Z189">
        <f t="shared" si="30"/>
        <v>263</v>
      </c>
      <c r="AA189">
        <f t="shared" si="31"/>
        <v>545.46200000000078</v>
      </c>
      <c r="AB189">
        <f>'FOB Data'!U201</f>
        <v>2.074000000000003</v>
      </c>
      <c r="AD189">
        <f t="shared" si="32"/>
        <v>263</v>
      </c>
      <c r="AE189">
        <f t="shared" si="33"/>
        <v>729.56200000000069</v>
      </c>
      <c r="AF189">
        <f>'FOB Data'!X201</f>
        <v>2.7740000000000027</v>
      </c>
      <c r="AH189">
        <f t="shared" si="34"/>
        <v>263</v>
      </c>
      <c r="AI189">
        <f t="shared" si="35"/>
        <v>650.66200000000072</v>
      </c>
      <c r="AJ189">
        <f>'FOB Data'!AA201</f>
        <v>2.4740000000000029</v>
      </c>
    </row>
    <row r="190" spans="2:36">
      <c r="B190">
        <f t="shared" si="40"/>
        <v>264</v>
      </c>
      <c r="C190">
        <f t="shared" si="36"/>
        <v>633.6</v>
      </c>
      <c r="D190">
        <f>'FOB Data'!C202</f>
        <v>2.4</v>
      </c>
      <c r="F190">
        <f t="shared" si="41"/>
        <v>264</v>
      </c>
      <c r="G190">
        <f t="shared" si="37"/>
        <v>652.60800000000086</v>
      </c>
      <c r="H190">
        <f>'FOB Data'!F202</f>
        <v>2.4720000000000031</v>
      </c>
      <c r="J190">
        <f>'FOB Data'!H202</f>
        <v>264</v>
      </c>
      <c r="K190">
        <f t="shared" si="38"/>
        <v>553.13279999999759</v>
      </c>
      <c r="L190">
        <f>'FOB Data'!I202</f>
        <v>2.0951999999999908</v>
      </c>
      <c r="N190">
        <f>'FOB Data'!K202</f>
        <v>264</v>
      </c>
      <c r="O190">
        <f t="shared" si="39"/>
        <v>626.20800000000077</v>
      </c>
      <c r="P190">
        <f>'FOB Data'!L202</f>
        <v>2.372000000000003</v>
      </c>
      <c r="R190">
        <f>'FOB Data'!N202</f>
        <v>264</v>
      </c>
      <c r="S190">
        <f t="shared" si="28"/>
        <v>626.20800000000077</v>
      </c>
      <c r="T190">
        <f>'FOB Data'!O202</f>
        <v>2.372000000000003</v>
      </c>
      <c r="V190">
        <f>'FOB Data'!Q202</f>
        <v>264</v>
      </c>
      <c r="W190">
        <f t="shared" si="29"/>
        <v>467.80799999999999</v>
      </c>
      <c r="X190">
        <f>'FOB Data'!R202</f>
        <v>1.772</v>
      </c>
      <c r="Z190">
        <f t="shared" si="30"/>
        <v>264</v>
      </c>
      <c r="AA190">
        <f t="shared" si="31"/>
        <v>547.00800000000083</v>
      </c>
      <c r="AB190">
        <f>'FOB Data'!U202</f>
        <v>2.0720000000000032</v>
      </c>
      <c r="AD190">
        <f t="shared" si="32"/>
        <v>264</v>
      </c>
      <c r="AE190">
        <f t="shared" si="33"/>
        <v>731.80800000000079</v>
      </c>
      <c r="AF190">
        <f>'FOB Data'!X202</f>
        <v>2.7720000000000029</v>
      </c>
      <c r="AH190">
        <f t="shared" si="34"/>
        <v>264</v>
      </c>
      <c r="AI190">
        <f t="shared" si="35"/>
        <v>652.60800000000086</v>
      </c>
      <c r="AJ190">
        <f>'FOB Data'!AA202</f>
        <v>2.4720000000000031</v>
      </c>
    </row>
    <row r="191" spans="2:36">
      <c r="B191">
        <f t="shared" si="40"/>
        <v>265</v>
      </c>
      <c r="C191">
        <f t="shared" si="36"/>
        <v>636</v>
      </c>
      <c r="D191">
        <f>'FOB Data'!C203</f>
        <v>2.4</v>
      </c>
      <c r="F191">
        <f t="shared" si="41"/>
        <v>265</v>
      </c>
      <c r="G191">
        <f t="shared" si="37"/>
        <v>654.55000000000086</v>
      </c>
      <c r="H191">
        <f>'FOB Data'!F203</f>
        <v>2.4700000000000033</v>
      </c>
      <c r="J191">
        <f>'FOB Data'!H203</f>
        <v>265</v>
      </c>
      <c r="K191">
        <f t="shared" si="38"/>
        <v>555.04249999999752</v>
      </c>
      <c r="L191">
        <f>'FOB Data'!I203</f>
        <v>2.0944999999999907</v>
      </c>
      <c r="N191">
        <f>'FOB Data'!K203</f>
        <v>265</v>
      </c>
      <c r="O191">
        <f t="shared" si="39"/>
        <v>628.05000000000086</v>
      </c>
      <c r="P191">
        <f>'FOB Data'!L203</f>
        <v>2.3700000000000032</v>
      </c>
      <c r="R191">
        <f>'FOB Data'!N203</f>
        <v>265</v>
      </c>
      <c r="S191">
        <f t="shared" si="28"/>
        <v>628.05000000000086</v>
      </c>
      <c r="T191">
        <f>'FOB Data'!O203</f>
        <v>2.3700000000000032</v>
      </c>
      <c r="V191">
        <f>'FOB Data'!Q203</f>
        <v>265</v>
      </c>
      <c r="W191">
        <f t="shared" si="29"/>
        <v>469.05</v>
      </c>
      <c r="X191">
        <f>'FOB Data'!R203</f>
        <v>1.77</v>
      </c>
      <c r="Z191">
        <f t="shared" si="30"/>
        <v>265</v>
      </c>
      <c r="AA191">
        <f t="shared" si="31"/>
        <v>548.55000000000086</v>
      </c>
      <c r="AB191">
        <f>'FOB Data'!U203</f>
        <v>2.0700000000000034</v>
      </c>
      <c r="AD191">
        <f t="shared" si="32"/>
        <v>265</v>
      </c>
      <c r="AE191">
        <f t="shared" si="33"/>
        <v>734.05000000000086</v>
      </c>
      <c r="AF191">
        <f>'FOB Data'!X203</f>
        <v>2.7700000000000031</v>
      </c>
      <c r="AH191">
        <f t="shared" si="34"/>
        <v>265</v>
      </c>
      <c r="AI191">
        <f t="shared" si="35"/>
        <v>654.55000000000086</v>
      </c>
      <c r="AJ191">
        <f>'FOB Data'!AA203</f>
        <v>2.4700000000000033</v>
      </c>
    </row>
    <row r="192" spans="2:36">
      <c r="B192">
        <f t="shared" si="40"/>
        <v>266</v>
      </c>
      <c r="C192">
        <f t="shared" si="36"/>
        <v>638.4</v>
      </c>
      <c r="D192">
        <f>'FOB Data'!C204</f>
        <v>2.4</v>
      </c>
      <c r="F192">
        <f t="shared" si="41"/>
        <v>266</v>
      </c>
      <c r="G192">
        <f t="shared" si="37"/>
        <v>656.48800000000097</v>
      </c>
      <c r="H192">
        <f>'FOB Data'!F204</f>
        <v>2.4680000000000035</v>
      </c>
      <c r="J192">
        <f>'FOB Data'!H204</f>
        <v>266</v>
      </c>
      <c r="K192">
        <f t="shared" si="38"/>
        <v>556.95079999999746</v>
      </c>
      <c r="L192">
        <f>'FOB Data'!I204</f>
        <v>2.0937999999999906</v>
      </c>
      <c r="N192">
        <f>'FOB Data'!K204</f>
        <v>266</v>
      </c>
      <c r="O192">
        <f t="shared" si="39"/>
        <v>629.88800000000094</v>
      </c>
      <c r="P192">
        <f>'FOB Data'!L204</f>
        <v>2.3680000000000034</v>
      </c>
      <c r="R192">
        <f>'FOB Data'!N204</f>
        <v>266</v>
      </c>
      <c r="S192">
        <f t="shared" si="28"/>
        <v>629.88800000000094</v>
      </c>
      <c r="T192">
        <f>'FOB Data'!O204</f>
        <v>2.3680000000000034</v>
      </c>
      <c r="V192">
        <f>'FOB Data'!Q204</f>
        <v>266</v>
      </c>
      <c r="W192">
        <f t="shared" si="29"/>
        <v>470.28800000000001</v>
      </c>
      <c r="X192">
        <f>'FOB Data'!R204</f>
        <v>1.768</v>
      </c>
      <c r="Z192">
        <f t="shared" si="30"/>
        <v>266</v>
      </c>
      <c r="AA192">
        <f t="shared" si="31"/>
        <v>550.08800000000099</v>
      </c>
      <c r="AB192">
        <f>'FOB Data'!U204</f>
        <v>2.0680000000000036</v>
      </c>
      <c r="AD192">
        <f t="shared" si="32"/>
        <v>266</v>
      </c>
      <c r="AE192">
        <f t="shared" si="33"/>
        <v>736.28800000000092</v>
      </c>
      <c r="AF192">
        <f>'FOB Data'!X204</f>
        <v>2.7680000000000033</v>
      </c>
      <c r="AH192">
        <f t="shared" si="34"/>
        <v>266</v>
      </c>
      <c r="AI192">
        <f t="shared" si="35"/>
        <v>656.48800000000097</v>
      </c>
      <c r="AJ192">
        <f>'FOB Data'!AA204</f>
        <v>2.4680000000000035</v>
      </c>
    </row>
    <row r="193" spans="2:36">
      <c r="B193">
        <f t="shared" si="40"/>
        <v>267</v>
      </c>
      <c r="C193">
        <f t="shared" si="36"/>
        <v>640.79999999999995</v>
      </c>
      <c r="D193">
        <f>'FOB Data'!C205</f>
        <v>2.4</v>
      </c>
      <c r="F193">
        <f t="shared" si="41"/>
        <v>267</v>
      </c>
      <c r="G193">
        <f t="shared" si="37"/>
        <v>658.42200000000105</v>
      </c>
      <c r="H193">
        <f>'FOB Data'!F205</f>
        <v>2.4660000000000037</v>
      </c>
      <c r="J193">
        <f>'FOB Data'!H205</f>
        <v>267</v>
      </c>
      <c r="K193">
        <f t="shared" si="38"/>
        <v>558.85769999999741</v>
      </c>
      <c r="L193">
        <f>'FOB Data'!I205</f>
        <v>2.0930999999999904</v>
      </c>
      <c r="N193">
        <f>'FOB Data'!K205</f>
        <v>267</v>
      </c>
      <c r="O193">
        <f t="shared" si="39"/>
        <v>631.722000000001</v>
      </c>
      <c r="P193">
        <f>'FOB Data'!L205</f>
        <v>2.3660000000000037</v>
      </c>
      <c r="R193">
        <f>'FOB Data'!N205</f>
        <v>267</v>
      </c>
      <c r="S193">
        <f t="shared" si="28"/>
        <v>631.722000000001</v>
      </c>
      <c r="T193">
        <f>'FOB Data'!O205</f>
        <v>2.3660000000000037</v>
      </c>
      <c r="V193">
        <f>'FOB Data'!Q205</f>
        <v>267</v>
      </c>
      <c r="W193">
        <f t="shared" si="29"/>
        <v>471.52199999999999</v>
      </c>
      <c r="X193">
        <f>'FOB Data'!R205</f>
        <v>1.766</v>
      </c>
      <c r="Z193">
        <f t="shared" si="30"/>
        <v>267</v>
      </c>
      <c r="AA193">
        <f t="shared" si="31"/>
        <v>551.62200000000098</v>
      </c>
      <c r="AB193">
        <f>'FOB Data'!U205</f>
        <v>2.0660000000000038</v>
      </c>
      <c r="AD193">
        <f t="shared" si="32"/>
        <v>267</v>
      </c>
      <c r="AE193">
        <f t="shared" si="33"/>
        <v>738.52200000000096</v>
      </c>
      <c r="AF193">
        <f>'FOB Data'!X205</f>
        <v>2.7660000000000036</v>
      </c>
      <c r="AH193">
        <f t="shared" si="34"/>
        <v>267</v>
      </c>
      <c r="AI193">
        <f t="shared" si="35"/>
        <v>658.42200000000105</v>
      </c>
      <c r="AJ193">
        <f>'FOB Data'!AA205</f>
        <v>2.4660000000000037</v>
      </c>
    </row>
    <row r="194" spans="2:36">
      <c r="B194">
        <f t="shared" si="40"/>
        <v>268</v>
      </c>
      <c r="C194">
        <f t="shared" si="36"/>
        <v>643.19999999999993</v>
      </c>
      <c r="D194">
        <f>'FOB Data'!C206</f>
        <v>2.4</v>
      </c>
      <c r="F194">
        <f t="shared" si="41"/>
        <v>268</v>
      </c>
      <c r="G194">
        <f t="shared" si="37"/>
        <v>660.35200000000111</v>
      </c>
      <c r="H194">
        <f>'FOB Data'!F206</f>
        <v>2.464000000000004</v>
      </c>
      <c r="J194">
        <f>'FOB Data'!H206</f>
        <v>268</v>
      </c>
      <c r="K194">
        <f t="shared" si="38"/>
        <v>560.76319999999737</v>
      </c>
      <c r="L194">
        <f>'FOB Data'!I206</f>
        <v>2.0923999999999903</v>
      </c>
      <c r="N194">
        <f>'FOB Data'!K206</f>
        <v>268</v>
      </c>
      <c r="O194">
        <f t="shared" si="39"/>
        <v>633.55200000000104</v>
      </c>
      <c r="P194">
        <f>'FOB Data'!L206</f>
        <v>2.3640000000000039</v>
      </c>
      <c r="R194">
        <f>'FOB Data'!N206</f>
        <v>268</v>
      </c>
      <c r="S194">
        <f t="shared" si="28"/>
        <v>633.55200000000104</v>
      </c>
      <c r="T194">
        <f>'FOB Data'!O206</f>
        <v>2.3640000000000039</v>
      </c>
      <c r="V194">
        <f>'FOB Data'!Q206</f>
        <v>268</v>
      </c>
      <c r="W194">
        <f t="shared" si="29"/>
        <v>472.75200000000001</v>
      </c>
      <c r="X194">
        <f>'FOB Data'!R206</f>
        <v>1.764</v>
      </c>
      <c r="Z194">
        <f t="shared" si="30"/>
        <v>268</v>
      </c>
      <c r="AA194">
        <f t="shared" si="31"/>
        <v>553.15200000000107</v>
      </c>
      <c r="AB194">
        <f>'FOB Data'!U206</f>
        <v>2.0640000000000041</v>
      </c>
      <c r="AD194">
        <f t="shared" si="32"/>
        <v>268</v>
      </c>
      <c r="AE194">
        <f t="shared" si="33"/>
        <v>740.75200000000098</v>
      </c>
      <c r="AF194">
        <f>'FOB Data'!X206</f>
        <v>2.7640000000000038</v>
      </c>
      <c r="AH194">
        <f t="shared" si="34"/>
        <v>268</v>
      </c>
      <c r="AI194">
        <f t="shared" si="35"/>
        <v>660.35200000000111</v>
      </c>
      <c r="AJ194">
        <f>'FOB Data'!AA206</f>
        <v>2.464000000000004</v>
      </c>
    </row>
    <row r="195" spans="2:36">
      <c r="B195">
        <f t="shared" si="40"/>
        <v>269</v>
      </c>
      <c r="C195">
        <f t="shared" si="36"/>
        <v>645.6</v>
      </c>
      <c r="D195">
        <f>'FOB Data'!C207</f>
        <v>2.4</v>
      </c>
      <c r="F195">
        <f t="shared" si="41"/>
        <v>269</v>
      </c>
      <c r="G195">
        <f t="shared" si="37"/>
        <v>662.27800000000116</v>
      </c>
      <c r="H195">
        <f>'FOB Data'!F207</f>
        <v>2.4620000000000042</v>
      </c>
      <c r="J195">
        <f>'FOB Data'!H207</f>
        <v>269</v>
      </c>
      <c r="K195">
        <f t="shared" si="38"/>
        <v>562.66729999999734</v>
      </c>
      <c r="L195">
        <f>'FOB Data'!I207</f>
        <v>2.0916999999999901</v>
      </c>
      <c r="N195">
        <f>'FOB Data'!K207</f>
        <v>269</v>
      </c>
      <c r="O195">
        <f t="shared" si="39"/>
        <v>635.37800000000107</v>
      </c>
      <c r="P195">
        <f>'FOB Data'!L207</f>
        <v>2.3620000000000041</v>
      </c>
      <c r="R195">
        <f>'FOB Data'!N207</f>
        <v>269</v>
      </c>
      <c r="S195">
        <f t="shared" si="28"/>
        <v>635.37800000000107</v>
      </c>
      <c r="T195">
        <f>'FOB Data'!O207</f>
        <v>2.3620000000000041</v>
      </c>
      <c r="V195">
        <f>'FOB Data'!Q207</f>
        <v>269</v>
      </c>
      <c r="W195">
        <f t="shared" si="29"/>
        <v>473.97800000000001</v>
      </c>
      <c r="X195">
        <f>'FOB Data'!R207</f>
        <v>1.762</v>
      </c>
      <c r="Z195">
        <f t="shared" si="30"/>
        <v>269</v>
      </c>
      <c r="AA195">
        <f t="shared" si="31"/>
        <v>554.67800000000113</v>
      </c>
      <c r="AB195">
        <f>'FOB Data'!U207</f>
        <v>2.0620000000000043</v>
      </c>
      <c r="AD195">
        <f t="shared" si="32"/>
        <v>269</v>
      </c>
      <c r="AE195">
        <f t="shared" si="33"/>
        <v>742.97800000000109</v>
      </c>
      <c r="AF195">
        <f>'FOB Data'!X207</f>
        <v>2.762000000000004</v>
      </c>
      <c r="AH195">
        <f t="shared" si="34"/>
        <v>269</v>
      </c>
      <c r="AI195">
        <f t="shared" si="35"/>
        <v>662.27800000000116</v>
      </c>
      <c r="AJ195">
        <f>'FOB Data'!AA207</f>
        <v>2.4620000000000042</v>
      </c>
    </row>
    <row r="196" spans="2:36">
      <c r="B196">
        <f t="shared" si="40"/>
        <v>270</v>
      </c>
      <c r="C196">
        <f t="shared" si="36"/>
        <v>648</v>
      </c>
      <c r="D196">
        <f>'FOB Data'!C208</f>
        <v>2.4</v>
      </c>
      <c r="F196">
        <f t="shared" si="41"/>
        <v>270</v>
      </c>
      <c r="G196">
        <f t="shared" si="37"/>
        <v>664.20000000000118</v>
      </c>
      <c r="H196">
        <f>'FOB Data'!F208</f>
        <v>2.4600000000000044</v>
      </c>
      <c r="J196">
        <f>'FOB Data'!H208</f>
        <v>270</v>
      </c>
      <c r="K196">
        <f t="shared" si="38"/>
        <v>564.56999999999732</v>
      </c>
      <c r="L196">
        <f>'FOB Data'!I208</f>
        <v>2.09099999999999</v>
      </c>
      <c r="N196">
        <f>'FOB Data'!K208</f>
        <v>270</v>
      </c>
      <c r="O196">
        <f t="shared" si="39"/>
        <v>637.20000000000118</v>
      </c>
      <c r="P196">
        <f>'FOB Data'!L208</f>
        <v>2.3600000000000043</v>
      </c>
      <c r="R196">
        <f>'FOB Data'!N208</f>
        <v>270</v>
      </c>
      <c r="S196">
        <f t="shared" si="28"/>
        <v>637.20000000000118</v>
      </c>
      <c r="T196">
        <f>'FOB Data'!O208</f>
        <v>2.3600000000000043</v>
      </c>
      <c r="V196">
        <f>'FOB Data'!Q208</f>
        <v>270</v>
      </c>
      <c r="W196">
        <f t="shared" si="29"/>
        <v>475.2</v>
      </c>
      <c r="X196">
        <f>'FOB Data'!R208</f>
        <v>1.76</v>
      </c>
      <c r="Z196">
        <f t="shared" si="30"/>
        <v>270</v>
      </c>
      <c r="AA196">
        <f t="shared" si="31"/>
        <v>556.20000000000118</v>
      </c>
      <c r="AB196">
        <f>'FOB Data'!U208</f>
        <v>2.0600000000000045</v>
      </c>
      <c r="AD196">
        <f t="shared" si="32"/>
        <v>270</v>
      </c>
      <c r="AE196">
        <f t="shared" si="33"/>
        <v>745.20000000000118</v>
      </c>
      <c r="AF196">
        <f>'FOB Data'!X208</f>
        <v>2.7600000000000042</v>
      </c>
      <c r="AH196">
        <f t="shared" si="34"/>
        <v>270</v>
      </c>
      <c r="AI196">
        <f t="shared" si="35"/>
        <v>664.20000000000118</v>
      </c>
      <c r="AJ196">
        <f>'FOB Data'!AA208</f>
        <v>2.4600000000000044</v>
      </c>
    </row>
    <row r="197" spans="2:36">
      <c r="B197">
        <f t="shared" si="40"/>
        <v>271</v>
      </c>
      <c r="C197">
        <f t="shared" si="36"/>
        <v>650.4</v>
      </c>
      <c r="D197">
        <f>'FOB Data'!C209</f>
        <v>2.4</v>
      </c>
      <c r="F197">
        <f t="shared" si="41"/>
        <v>271</v>
      </c>
      <c r="G197">
        <f t="shared" si="37"/>
        <v>666.1180000000013</v>
      </c>
      <c r="H197">
        <f>'FOB Data'!F209</f>
        <v>2.4580000000000046</v>
      </c>
      <c r="J197">
        <f>'FOB Data'!H209</f>
        <v>271</v>
      </c>
      <c r="K197">
        <f t="shared" si="38"/>
        <v>566.4712999999972</v>
      </c>
      <c r="L197">
        <f>'FOB Data'!I209</f>
        <v>2.0902999999999898</v>
      </c>
      <c r="N197">
        <f>'FOB Data'!K209</f>
        <v>271</v>
      </c>
      <c r="O197">
        <f t="shared" si="39"/>
        <v>639.01800000000128</v>
      </c>
      <c r="P197">
        <f>'FOB Data'!L209</f>
        <v>2.3580000000000045</v>
      </c>
      <c r="R197">
        <f>'FOB Data'!N209</f>
        <v>271</v>
      </c>
      <c r="S197">
        <f t="shared" si="28"/>
        <v>639.01800000000128</v>
      </c>
      <c r="T197">
        <f>'FOB Data'!O209</f>
        <v>2.3580000000000045</v>
      </c>
      <c r="V197">
        <f>'FOB Data'!Q209</f>
        <v>271</v>
      </c>
      <c r="W197">
        <f t="shared" si="29"/>
        <v>476.41800000000001</v>
      </c>
      <c r="X197">
        <f>'FOB Data'!R209</f>
        <v>1.758</v>
      </c>
      <c r="Z197">
        <f t="shared" si="30"/>
        <v>271</v>
      </c>
      <c r="AA197">
        <f t="shared" si="31"/>
        <v>557.71800000000133</v>
      </c>
      <c r="AB197">
        <f>'FOB Data'!U209</f>
        <v>2.0580000000000047</v>
      </c>
      <c r="AD197">
        <f t="shared" si="32"/>
        <v>271</v>
      </c>
      <c r="AE197">
        <f t="shared" si="33"/>
        <v>747.41800000000126</v>
      </c>
      <c r="AF197">
        <f>'FOB Data'!X209</f>
        <v>2.7580000000000044</v>
      </c>
      <c r="AH197">
        <f t="shared" si="34"/>
        <v>271</v>
      </c>
      <c r="AI197">
        <f t="shared" si="35"/>
        <v>666.1180000000013</v>
      </c>
      <c r="AJ197">
        <f>'FOB Data'!AA209</f>
        <v>2.4580000000000046</v>
      </c>
    </row>
    <row r="198" spans="2:36">
      <c r="B198">
        <f t="shared" si="40"/>
        <v>272</v>
      </c>
      <c r="C198">
        <f t="shared" si="36"/>
        <v>652.79999999999995</v>
      </c>
      <c r="D198">
        <f>'FOB Data'!C210</f>
        <v>2.4</v>
      </c>
      <c r="F198">
        <f t="shared" si="41"/>
        <v>272</v>
      </c>
      <c r="G198">
        <f t="shared" si="37"/>
        <v>668.03200000000129</v>
      </c>
      <c r="H198">
        <f>'FOB Data'!F210</f>
        <v>2.4560000000000048</v>
      </c>
      <c r="J198">
        <f>'FOB Data'!H210</f>
        <v>272</v>
      </c>
      <c r="K198">
        <f t="shared" si="38"/>
        <v>568.3711999999972</v>
      </c>
      <c r="L198">
        <f>'FOB Data'!I210</f>
        <v>2.0895999999999897</v>
      </c>
      <c r="N198">
        <f>'FOB Data'!K210</f>
        <v>272</v>
      </c>
      <c r="O198">
        <f t="shared" si="39"/>
        <v>640.83200000000124</v>
      </c>
      <c r="P198">
        <f>'FOB Data'!L210</f>
        <v>2.3560000000000048</v>
      </c>
      <c r="R198">
        <f>'FOB Data'!N210</f>
        <v>272</v>
      </c>
      <c r="S198">
        <f t="shared" ref="S198:S226" si="42">R198*T198</f>
        <v>640.83200000000124</v>
      </c>
      <c r="T198">
        <f>'FOB Data'!O210</f>
        <v>2.3560000000000048</v>
      </c>
      <c r="V198">
        <f>'FOB Data'!Q210</f>
        <v>272</v>
      </c>
      <c r="W198">
        <f t="shared" ref="W198:W226" si="43">V198*X198</f>
        <v>477.63200000000001</v>
      </c>
      <c r="X198">
        <f>'FOB Data'!R210</f>
        <v>1.756</v>
      </c>
      <c r="Z198">
        <f t="shared" ref="Z198:Z226" si="44">V198</f>
        <v>272</v>
      </c>
      <c r="AA198">
        <f t="shared" ref="AA198:AA226" si="45">Z198*AB198</f>
        <v>559.23200000000134</v>
      </c>
      <c r="AB198">
        <f>'FOB Data'!U210</f>
        <v>2.0560000000000049</v>
      </c>
      <c r="AD198">
        <f t="shared" ref="AD198:AD226" si="46">Z198</f>
        <v>272</v>
      </c>
      <c r="AE198">
        <f t="shared" ref="AE198:AE226" si="47">AD198*AF198</f>
        <v>749.63200000000131</v>
      </c>
      <c r="AF198">
        <f>'FOB Data'!X210</f>
        <v>2.7560000000000047</v>
      </c>
      <c r="AH198">
        <f t="shared" ref="AH198:AH226" si="48">AD198</f>
        <v>272</v>
      </c>
      <c r="AI198">
        <f t="shared" ref="AI198:AI226" si="49">AH198*AJ198</f>
        <v>668.03200000000129</v>
      </c>
      <c r="AJ198">
        <f>'FOB Data'!AA210</f>
        <v>2.4560000000000048</v>
      </c>
    </row>
    <row r="199" spans="2:36">
      <c r="B199">
        <f t="shared" si="40"/>
        <v>273</v>
      </c>
      <c r="C199">
        <f t="shared" ref="C199:C226" si="50">B199*D199</f>
        <v>655.19999999999993</v>
      </c>
      <c r="D199">
        <f>'FOB Data'!C211</f>
        <v>2.4</v>
      </c>
      <c r="F199">
        <f t="shared" si="41"/>
        <v>273</v>
      </c>
      <c r="G199">
        <f t="shared" ref="G199:G226" si="51">F199*H199</f>
        <v>669.94200000000137</v>
      </c>
      <c r="H199">
        <f>'FOB Data'!F211</f>
        <v>2.4540000000000051</v>
      </c>
      <c r="J199">
        <f>'FOB Data'!H211</f>
        <v>273</v>
      </c>
      <c r="K199">
        <f t="shared" ref="K199:K226" si="52">J199*L199</f>
        <v>570.2696999999971</v>
      </c>
      <c r="L199">
        <f>'FOB Data'!I211</f>
        <v>2.0888999999999895</v>
      </c>
      <c r="N199">
        <f>'FOB Data'!K211</f>
        <v>273</v>
      </c>
      <c r="O199">
        <f t="shared" ref="O199:O226" si="53">N199*P199</f>
        <v>642.6420000000013</v>
      </c>
      <c r="P199">
        <f>'FOB Data'!L211</f>
        <v>2.354000000000005</v>
      </c>
      <c r="R199">
        <f>'FOB Data'!N211</f>
        <v>273</v>
      </c>
      <c r="S199">
        <f t="shared" si="42"/>
        <v>642.6420000000013</v>
      </c>
      <c r="T199">
        <f>'FOB Data'!O211</f>
        <v>2.354000000000005</v>
      </c>
      <c r="V199">
        <f>'FOB Data'!Q211</f>
        <v>273</v>
      </c>
      <c r="W199">
        <f t="shared" si="43"/>
        <v>478.84199999999998</v>
      </c>
      <c r="X199">
        <f>'FOB Data'!R211</f>
        <v>1.754</v>
      </c>
      <c r="Z199">
        <f t="shared" si="44"/>
        <v>273</v>
      </c>
      <c r="AA199">
        <f t="shared" si="45"/>
        <v>560.74200000000144</v>
      </c>
      <c r="AB199">
        <f>'FOB Data'!U211</f>
        <v>2.0540000000000052</v>
      </c>
      <c r="AD199">
        <f t="shared" si="46"/>
        <v>273</v>
      </c>
      <c r="AE199">
        <f t="shared" si="47"/>
        <v>751.84200000000135</v>
      </c>
      <c r="AF199">
        <f>'FOB Data'!X211</f>
        <v>2.7540000000000049</v>
      </c>
      <c r="AH199">
        <f t="shared" si="48"/>
        <v>273</v>
      </c>
      <c r="AI199">
        <f t="shared" si="49"/>
        <v>669.94200000000137</v>
      </c>
      <c r="AJ199">
        <f>'FOB Data'!AA211</f>
        <v>2.4540000000000051</v>
      </c>
    </row>
    <row r="200" spans="2:36">
      <c r="B200">
        <f t="shared" ref="B200:B226" si="54">B199+1</f>
        <v>274</v>
      </c>
      <c r="C200">
        <f t="shared" si="50"/>
        <v>657.6</v>
      </c>
      <c r="D200">
        <f>'FOB Data'!C212</f>
        <v>2.4</v>
      </c>
      <c r="F200">
        <f t="shared" ref="F200:F226" si="55">F199+1</f>
        <v>274</v>
      </c>
      <c r="G200">
        <f t="shared" si="51"/>
        <v>671.84800000000143</v>
      </c>
      <c r="H200">
        <f>'FOB Data'!F212</f>
        <v>2.4520000000000053</v>
      </c>
      <c r="J200">
        <f>'FOB Data'!H212</f>
        <v>274</v>
      </c>
      <c r="K200">
        <f t="shared" si="52"/>
        <v>572.16679999999712</v>
      </c>
      <c r="L200">
        <f>'FOB Data'!I212</f>
        <v>2.0881999999999894</v>
      </c>
      <c r="N200">
        <f>'FOB Data'!K212</f>
        <v>274</v>
      </c>
      <c r="O200">
        <f t="shared" si="53"/>
        <v>644.44800000000146</v>
      </c>
      <c r="P200">
        <f>'FOB Data'!L212</f>
        <v>2.3520000000000052</v>
      </c>
      <c r="R200">
        <f>'FOB Data'!N212</f>
        <v>274</v>
      </c>
      <c r="S200">
        <f t="shared" si="42"/>
        <v>644.44800000000146</v>
      </c>
      <c r="T200">
        <f>'FOB Data'!O212</f>
        <v>2.3520000000000052</v>
      </c>
      <c r="V200">
        <f>'FOB Data'!Q212</f>
        <v>274</v>
      </c>
      <c r="W200">
        <f t="shared" si="43"/>
        <v>480.048</v>
      </c>
      <c r="X200">
        <f>'FOB Data'!R212</f>
        <v>1.752</v>
      </c>
      <c r="Z200">
        <f t="shared" si="44"/>
        <v>274</v>
      </c>
      <c r="AA200">
        <f t="shared" si="45"/>
        <v>562.24800000000153</v>
      </c>
      <c r="AB200">
        <f>'FOB Data'!U212</f>
        <v>2.0520000000000054</v>
      </c>
      <c r="AD200">
        <f t="shared" si="46"/>
        <v>274</v>
      </c>
      <c r="AE200">
        <f t="shared" si="47"/>
        <v>754.04800000000137</v>
      </c>
      <c r="AF200">
        <f>'FOB Data'!X212</f>
        <v>2.7520000000000051</v>
      </c>
      <c r="AH200">
        <f t="shared" si="48"/>
        <v>274</v>
      </c>
      <c r="AI200">
        <f t="shared" si="49"/>
        <v>671.84800000000143</v>
      </c>
      <c r="AJ200">
        <f>'FOB Data'!AA212</f>
        <v>2.4520000000000053</v>
      </c>
    </row>
    <row r="201" spans="2:36">
      <c r="B201">
        <f t="shared" si="54"/>
        <v>275</v>
      </c>
      <c r="C201">
        <f t="shared" si="50"/>
        <v>660</v>
      </c>
      <c r="D201">
        <f>'FOB Data'!C213</f>
        <v>2.4</v>
      </c>
      <c r="F201">
        <f t="shared" si="55"/>
        <v>275</v>
      </c>
      <c r="G201">
        <f t="shared" si="51"/>
        <v>673.75000000000148</v>
      </c>
      <c r="H201">
        <f>'FOB Data'!F213</f>
        <v>2.4500000000000055</v>
      </c>
      <c r="J201">
        <f>'FOB Data'!H213</f>
        <v>275</v>
      </c>
      <c r="K201">
        <f t="shared" si="52"/>
        <v>574.06249999999704</v>
      </c>
      <c r="L201">
        <f>'FOB Data'!I213</f>
        <v>2.0874999999999893</v>
      </c>
      <c r="N201">
        <f>'FOB Data'!K213</f>
        <v>275</v>
      </c>
      <c r="O201">
        <f t="shared" si="53"/>
        <v>646.25000000000148</v>
      </c>
      <c r="P201">
        <f>'FOB Data'!L213</f>
        <v>2.3500000000000054</v>
      </c>
      <c r="R201">
        <f>'FOB Data'!N213</f>
        <v>275</v>
      </c>
      <c r="S201">
        <f t="shared" si="42"/>
        <v>646.25000000000148</v>
      </c>
      <c r="T201">
        <f>'FOB Data'!O213</f>
        <v>2.3500000000000054</v>
      </c>
      <c r="V201">
        <f>'FOB Data'!Q213</f>
        <v>275</v>
      </c>
      <c r="W201">
        <f t="shared" si="43"/>
        <v>481.25</v>
      </c>
      <c r="X201">
        <f>'FOB Data'!R213</f>
        <v>1.75</v>
      </c>
      <c r="Z201">
        <f t="shared" si="44"/>
        <v>275</v>
      </c>
      <c r="AA201">
        <f t="shared" si="45"/>
        <v>563.75000000000159</v>
      </c>
      <c r="AB201">
        <f>'FOB Data'!U213</f>
        <v>2.0500000000000056</v>
      </c>
      <c r="AD201">
        <f t="shared" si="46"/>
        <v>275</v>
      </c>
      <c r="AE201">
        <f t="shared" si="47"/>
        <v>756.25000000000148</v>
      </c>
      <c r="AF201">
        <f>'FOB Data'!X213</f>
        <v>2.7500000000000053</v>
      </c>
      <c r="AH201">
        <f t="shared" si="48"/>
        <v>275</v>
      </c>
      <c r="AI201">
        <f t="shared" si="49"/>
        <v>673.75000000000148</v>
      </c>
      <c r="AJ201">
        <f>'FOB Data'!AA213</f>
        <v>2.4500000000000055</v>
      </c>
    </row>
    <row r="202" spans="2:36">
      <c r="B202">
        <f t="shared" si="54"/>
        <v>276</v>
      </c>
      <c r="C202">
        <f t="shared" si="50"/>
        <v>662.4</v>
      </c>
      <c r="D202">
        <f>'FOB Data'!C214</f>
        <v>2.4</v>
      </c>
      <c r="F202">
        <f t="shared" si="55"/>
        <v>276</v>
      </c>
      <c r="G202">
        <f t="shared" si="51"/>
        <v>675.64800000000162</v>
      </c>
      <c r="H202">
        <f>'FOB Data'!F214</f>
        <v>2.4480000000000057</v>
      </c>
      <c r="J202">
        <f>'FOB Data'!H214</f>
        <v>276</v>
      </c>
      <c r="K202">
        <f t="shared" si="52"/>
        <v>575.95679999999697</v>
      </c>
      <c r="L202">
        <f>'FOB Data'!I214</f>
        <v>2.0867999999999891</v>
      </c>
      <c r="N202">
        <f>'FOB Data'!K214</f>
        <v>276</v>
      </c>
      <c r="O202">
        <f t="shared" si="53"/>
        <v>648.04800000000159</v>
      </c>
      <c r="P202">
        <f>'FOB Data'!L214</f>
        <v>2.3480000000000056</v>
      </c>
      <c r="R202">
        <f>'FOB Data'!N214</f>
        <v>276</v>
      </c>
      <c r="S202">
        <f t="shared" si="42"/>
        <v>648.04800000000159</v>
      </c>
      <c r="T202">
        <f>'FOB Data'!O214</f>
        <v>2.3480000000000056</v>
      </c>
      <c r="V202">
        <f>'FOB Data'!Q214</f>
        <v>276</v>
      </c>
      <c r="W202">
        <f t="shared" si="43"/>
        <v>482.44799999999998</v>
      </c>
      <c r="X202">
        <f>'FOB Data'!R214</f>
        <v>1.748</v>
      </c>
      <c r="Z202">
        <f t="shared" si="44"/>
        <v>276</v>
      </c>
      <c r="AA202">
        <f t="shared" si="45"/>
        <v>565.24800000000164</v>
      </c>
      <c r="AB202">
        <f>'FOB Data'!U214</f>
        <v>2.0480000000000058</v>
      </c>
      <c r="AD202">
        <f t="shared" si="46"/>
        <v>276</v>
      </c>
      <c r="AE202">
        <f t="shared" si="47"/>
        <v>758.44800000000157</v>
      </c>
      <c r="AF202">
        <f>'FOB Data'!X214</f>
        <v>2.7480000000000055</v>
      </c>
      <c r="AH202">
        <f t="shared" si="48"/>
        <v>276</v>
      </c>
      <c r="AI202">
        <f t="shared" si="49"/>
        <v>675.64800000000162</v>
      </c>
      <c r="AJ202">
        <f>'FOB Data'!AA214</f>
        <v>2.4480000000000057</v>
      </c>
    </row>
    <row r="203" spans="2:36">
      <c r="B203">
        <f t="shared" si="54"/>
        <v>277</v>
      </c>
      <c r="C203">
        <f t="shared" si="50"/>
        <v>664.8</v>
      </c>
      <c r="D203">
        <f>'FOB Data'!C215</f>
        <v>2.4</v>
      </c>
      <c r="F203">
        <f t="shared" si="55"/>
        <v>277</v>
      </c>
      <c r="G203">
        <f t="shared" si="51"/>
        <v>677.54200000000162</v>
      </c>
      <c r="H203">
        <f>'FOB Data'!F215</f>
        <v>2.4460000000000059</v>
      </c>
      <c r="J203">
        <f>'FOB Data'!H215</f>
        <v>277</v>
      </c>
      <c r="K203">
        <f t="shared" si="52"/>
        <v>577.84969999999691</v>
      </c>
      <c r="L203">
        <f>'FOB Data'!I215</f>
        <v>2.086099999999989</v>
      </c>
      <c r="N203">
        <f>'FOB Data'!K215</f>
        <v>277</v>
      </c>
      <c r="O203">
        <f t="shared" si="53"/>
        <v>649.84200000000158</v>
      </c>
      <c r="P203">
        <f>'FOB Data'!L215</f>
        <v>2.3460000000000059</v>
      </c>
      <c r="R203">
        <f>'FOB Data'!N215</f>
        <v>277</v>
      </c>
      <c r="S203">
        <f t="shared" si="42"/>
        <v>649.84200000000158</v>
      </c>
      <c r="T203">
        <f>'FOB Data'!O215</f>
        <v>2.3460000000000059</v>
      </c>
      <c r="V203">
        <f>'FOB Data'!Q215</f>
        <v>277</v>
      </c>
      <c r="W203">
        <f t="shared" si="43"/>
        <v>483.642</v>
      </c>
      <c r="X203">
        <f>'FOB Data'!R215</f>
        <v>1.746</v>
      </c>
      <c r="Z203">
        <f t="shared" si="44"/>
        <v>277</v>
      </c>
      <c r="AA203">
        <f t="shared" si="45"/>
        <v>566.74200000000167</v>
      </c>
      <c r="AB203">
        <f>'FOB Data'!U215</f>
        <v>2.046000000000006</v>
      </c>
      <c r="AD203">
        <f t="shared" si="46"/>
        <v>277</v>
      </c>
      <c r="AE203">
        <f t="shared" si="47"/>
        <v>760.64200000000164</v>
      </c>
      <c r="AF203">
        <f>'FOB Data'!X215</f>
        <v>2.7460000000000058</v>
      </c>
      <c r="AH203">
        <f t="shared" si="48"/>
        <v>277</v>
      </c>
      <c r="AI203">
        <f t="shared" si="49"/>
        <v>677.54200000000162</v>
      </c>
      <c r="AJ203">
        <f>'FOB Data'!AA215</f>
        <v>2.4460000000000059</v>
      </c>
    </row>
    <row r="204" spans="2:36">
      <c r="B204">
        <f t="shared" si="54"/>
        <v>278</v>
      </c>
      <c r="C204">
        <f t="shared" si="50"/>
        <v>667.19999999999993</v>
      </c>
      <c r="D204">
        <f>'FOB Data'!C216</f>
        <v>2.4</v>
      </c>
      <c r="F204">
        <f t="shared" si="55"/>
        <v>278</v>
      </c>
      <c r="G204">
        <f t="shared" si="51"/>
        <v>679.43200000000172</v>
      </c>
      <c r="H204">
        <f>'FOB Data'!F216</f>
        <v>2.4440000000000062</v>
      </c>
      <c r="J204">
        <f>'FOB Data'!H216</f>
        <v>278</v>
      </c>
      <c r="K204">
        <f t="shared" si="52"/>
        <v>579.74119999999687</v>
      </c>
      <c r="L204">
        <f>'FOB Data'!I216</f>
        <v>2.0853999999999888</v>
      </c>
      <c r="N204">
        <f>'FOB Data'!K216</f>
        <v>278</v>
      </c>
      <c r="O204">
        <f t="shared" si="53"/>
        <v>651.63200000000165</v>
      </c>
      <c r="P204">
        <f>'FOB Data'!L216</f>
        <v>2.3440000000000061</v>
      </c>
      <c r="R204">
        <f>'FOB Data'!N216</f>
        <v>278</v>
      </c>
      <c r="S204">
        <f t="shared" si="42"/>
        <v>651.63200000000165</v>
      </c>
      <c r="T204">
        <f>'FOB Data'!O216</f>
        <v>2.3440000000000061</v>
      </c>
      <c r="V204">
        <f>'FOB Data'!Q216</f>
        <v>278</v>
      </c>
      <c r="W204">
        <f t="shared" si="43"/>
        <v>484.83199999999999</v>
      </c>
      <c r="X204">
        <f>'FOB Data'!R216</f>
        <v>1.744</v>
      </c>
      <c r="Z204">
        <f t="shared" si="44"/>
        <v>278</v>
      </c>
      <c r="AA204">
        <f t="shared" si="45"/>
        <v>568.23200000000179</v>
      </c>
      <c r="AB204">
        <f>'FOB Data'!U216</f>
        <v>2.0440000000000063</v>
      </c>
      <c r="AD204">
        <f t="shared" si="46"/>
        <v>278</v>
      </c>
      <c r="AE204">
        <f t="shared" si="47"/>
        <v>762.8320000000017</v>
      </c>
      <c r="AF204">
        <f>'FOB Data'!X216</f>
        <v>2.744000000000006</v>
      </c>
      <c r="AH204">
        <f t="shared" si="48"/>
        <v>278</v>
      </c>
      <c r="AI204">
        <f t="shared" si="49"/>
        <v>679.43200000000172</v>
      </c>
      <c r="AJ204">
        <f>'FOB Data'!AA216</f>
        <v>2.4440000000000062</v>
      </c>
    </row>
    <row r="205" spans="2:36">
      <c r="B205">
        <f t="shared" si="54"/>
        <v>279</v>
      </c>
      <c r="C205">
        <f t="shared" si="50"/>
        <v>669.6</v>
      </c>
      <c r="D205">
        <f>'FOB Data'!C217</f>
        <v>2.4</v>
      </c>
      <c r="F205">
        <f t="shared" si="55"/>
        <v>279</v>
      </c>
      <c r="G205">
        <f t="shared" si="51"/>
        <v>681.3180000000018</v>
      </c>
      <c r="H205">
        <f>'FOB Data'!F217</f>
        <v>2.4420000000000064</v>
      </c>
      <c r="J205">
        <f>'FOB Data'!H217</f>
        <v>279</v>
      </c>
      <c r="K205">
        <f t="shared" si="52"/>
        <v>581.63129999999683</v>
      </c>
      <c r="L205">
        <f>'FOB Data'!I217</f>
        <v>2.0846999999999887</v>
      </c>
      <c r="N205">
        <f>'FOB Data'!K217</f>
        <v>279</v>
      </c>
      <c r="O205">
        <f t="shared" si="53"/>
        <v>653.41800000000171</v>
      </c>
      <c r="P205">
        <f>'FOB Data'!L217</f>
        <v>2.3420000000000063</v>
      </c>
      <c r="R205">
        <f>'FOB Data'!N217</f>
        <v>279</v>
      </c>
      <c r="S205">
        <f t="shared" si="42"/>
        <v>653.41800000000171</v>
      </c>
      <c r="T205">
        <f>'FOB Data'!O217</f>
        <v>2.3420000000000063</v>
      </c>
      <c r="V205">
        <f>'FOB Data'!Q217</f>
        <v>279</v>
      </c>
      <c r="W205">
        <f t="shared" si="43"/>
        <v>486.01799999999997</v>
      </c>
      <c r="X205">
        <f>'FOB Data'!R217</f>
        <v>1.742</v>
      </c>
      <c r="Z205">
        <f t="shared" si="44"/>
        <v>279</v>
      </c>
      <c r="AA205">
        <f t="shared" si="45"/>
        <v>569.71800000000178</v>
      </c>
      <c r="AB205">
        <f>'FOB Data'!U217</f>
        <v>2.0420000000000065</v>
      </c>
      <c r="AD205">
        <f t="shared" si="46"/>
        <v>279</v>
      </c>
      <c r="AE205">
        <f t="shared" si="47"/>
        <v>765.01800000000173</v>
      </c>
      <c r="AF205">
        <f>'FOB Data'!X217</f>
        <v>2.7420000000000062</v>
      </c>
      <c r="AH205">
        <f t="shared" si="48"/>
        <v>279</v>
      </c>
      <c r="AI205">
        <f t="shared" si="49"/>
        <v>681.3180000000018</v>
      </c>
      <c r="AJ205">
        <f>'FOB Data'!AA217</f>
        <v>2.4420000000000064</v>
      </c>
    </row>
    <row r="206" spans="2:36">
      <c r="B206">
        <f t="shared" si="54"/>
        <v>280</v>
      </c>
      <c r="C206">
        <f t="shared" si="50"/>
        <v>672</v>
      </c>
      <c r="D206">
        <f>'FOB Data'!C218</f>
        <v>2.4</v>
      </c>
      <c r="F206">
        <f t="shared" si="55"/>
        <v>280</v>
      </c>
      <c r="G206">
        <f t="shared" si="51"/>
        <v>683.20000000000186</v>
      </c>
      <c r="H206">
        <f>'FOB Data'!F218</f>
        <v>2.4400000000000066</v>
      </c>
      <c r="J206">
        <f>'FOB Data'!H218</f>
        <v>280</v>
      </c>
      <c r="K206">
        <f t="shared" si="52"/>
        <v>583.5199999999968</v>
      </c>
      <c r="L206">
        <f>'FOB Data'!I218</f>
        <v>2.0839999999999885</v>
      </c>
      <c r="N206">
        <f>'FOB Data'!K218</f>
        <v>280</v>
      </c>
      <c r="O206">
        <f t="shared" si="53"/>
        <v>655.20000000000186</v>
      </c>
      <c r="P206">
        <f>'FOB Data'!L218</f>
        <v>2.3400000000000065</v>
      </c>
      <c r="R206">
        <f>'FOB Data'!N218</f>
        <v>280</v>
      </c>
      <c r="S206">
        <f t="shared" si="42"/>
        <v>655.20000000000186</v>
      </c>
      <c r="T206">
        <f>'FOB Data'!O218</f>
        <v>2.3400000000000065</v>
      </c>
      <c r="V206">
        <f>'FOB Data'!Q218</f>
        <v>280</v>
      </c>
      <c r="W206">
        <f t="shared" si="43"/>
        <v>487.2</v>
      </c>
      <c r="X206">
        <f>'FOB Data'!R218</f>
        <v>1.74</v>
      </c>
      <c r="Z206">
        <f t="shared" si="44"/>
        <v>280</v>
      </c>
      <c r="AA206">
        <f t="shared" si="45"/>
        <v>571.20000000000186</v>
      </c>
      <c r="AB206">
        <f>'FOB Data'!U218</f>
        <v>2.0400000000000067</v>
      </c>
      <c r="AD206">
        <f t="shared" si="46"/>
        <v>280</v>
      </c>
      <c r="AE206">
        <f t="shared" si="47"/>
        <v>767.20000000000175</v>
      </c>
      <c r="AF206">
        <f>'FOB Data'!X218</f>
        <v>2.7400000000000064</v>
      </c>
      <c r="AH206">
        <f t="shared" si="48"/>
        <v>280</v>
      </c>
      <c r="AI206">
        <f t="shared" si="49"/>
        <v>683.20000000000186</v>
      </c>
      <c r="AJ206">
        <f>'FOB Data'!AA218</f>
        <v>2.4400000000000066</v>
      </c>
    </row>
    <row r="207" spans="2:36">
      <c r="B207">
        <f t="shared" si="54"/>
        <v>281</v>
      </c>
      <c r="C207">
        <f t="shared" si="50"/>
        <v>674.4</v>
      </c>
      <c r="D207">
        <f>'FOB Data'!C219</f>
        <v>2.4</v>
      </c>
      <c r="F207">
        <f t="shared" si="55"/>
        <v>281</v>
      </c>
      <c r="G207">
        <f t="shared" si="51"/>
        <v>685.07800000000191</v>
      </c>
      <c r="H207">
        <f>'FOB Data'!F219</f>
        <v>2.4380000000000068</v>
      </c>
      <c r="J207">
        <f>'FOB Data'!H219</f>
        <v>281</v>
      </c>
      <c r="K207">
        <f t="shared" si="52"/>
        <v>585.40729999999678</v>
      </c>
      <c r="L207">
        <f>'FOB Data'!I219</f>
        <v>2.0832999999999884</v>
      </c>
      <c r="N207">
        <f>'FOB Data'!K219</f>
        <v>281</v>
      </c>
      <c r="O207">
        <f t="shared" si="53"/>
        <v>656.97800000000188</v>
      </c>
      <c r="P207">
        <f>'FOB Data'!L219</f>
        <v>2.3380000000000067</v>
      </c>
      <c r="R207">
        <f>'FOB Data'!N219</f>
        <v>281</v>
      </c>
      <c r="S207">
        <f t="shared" si="42"/>
        <v>656.97800000000188</v>
      </c>
      <c r="T207">
        <f>'FOB Data'!O219</f>
        <v>2.3380000000000067</v>
      </c>
      <c r="V207">
        <f>'FOB Data'!Q219</f>
        <v>281</v>
      </c>
      <c r="W207">
        <f t="shared" si="43"/>
        <v>488.37799999999999</v>
      </c>
      <c r="X207">
        <f>'FOB Data'!R219</f>
        <v>1.738</v>
      </c>
      <c r="Z207">
        <f t="shared" si="44"/>
        <v>281</v>
      </c>
      <c r="AA207">
        <f t="shared" si="45"/>
        <v>572.67800000000193</v>
      </c>
      <c r="AB207">
        <f>'FOB Data'!U219</f>
        <v>2.0380000000000069</v>
      </c>
      <c r="AD207">
        <f t="shared" si="46"/>
        <v>281</v>
      </c>
      <c r="AE207">
        <f t="shared" si="47"/>
        <v>769.37800000000186</v>
      </c>
      <c r="AF207">
        <f>'FOB Data'!X219</f>
        <v>2.7380000000000067</v>
      </c>
      <c r="AH207">
        <f t="shared" si="48"/>
        <v>281</v>
      </c>
      <c r="AI207">
        <f t="shared" si="49"/>
        <v>685.07800000000191</v>
      </c>
      <c r="AJ207">
        <f>'FOB Data'!AA219</f>
        <v>2.4380000000000068</v>
      </c>
    </row>
    <row r="208" spans="2:36">
      <c r="B208">
        <f t="shared" si="54"/>
        <v>282</v>
      </c>
      <c r="C208">
        <f t="shared" si="50"/>
        <v>676.8</v>
      </c>
      <c r="D208">
        <f>'FOB Data'!C220</f>
        <v>2.4</v>
      </c>
      <c r="F208">
        <f t="shared" si="55"/>
        <v>282</v>
      </c>
      <c r="G208">
        <f t="shared" si="51"/>
        <v>686.95200000000204</v>
      </c>
      <c r="H208">
        <f>'FOB Data'!F220</f>
        <v>2.436000000000007</v>
      </c>
      <c r="J208">
        <f>'FOB Data'!H220</f>
        <v>282</v>
      </c>
      <c r="K208">
        <f t="shared" si="52"/>
        <v>587.29319999999666</v>
      </c>
      <c r="L208">
        <f>'FOB Data'!I220</f>
        <v>2.0825999999999882</v>
      </c>
      <c r="N208">
        <f>'FOB Data'!K220</f>
        <v>282</v>
      </c>
      <c r="O208">
        <f t="shared" si="53"/>
        <v>658.752000000002</v>
      </c>
      <c r="P208">
        <f>'FOB Data'!L220</f>
        <v>2.336000000000007</v>
      </c>
      <c r="R208">
        <f>'FOB Data'!N220</f>
        <v>282</v>
      </c>
      <c r="S208">
        <f t="shared" si="42"/>
        <v>658.752000000002</v>
      </c>
      <c r="T208">
        <f>'FOB Data'!O220</f>
        <v>2.336000000000007</v>
      </c>
      <c r="V208">
        <f>'FOB Data'!Q220</f>
        <v>282</v>
      </c>
      <c r="W208">
        <f t="shared" si="43"/>
        <v>489.55200000000002</v>
      </c>
      <c r="X208">
        <f>'FOB Data'!R220</f>
        <v>1.736</v>
      </c>
      <c r="Z208">
        <f t="shared" si="44"/>
        <v>282</v>
      </c>
      <c r="AA208">
        <f t="shared" si="45"/>
        <v>574.15200000000198</v>
      </c>
      <c r="AB208">
        <f>'FOB Data'!U220</f>
        <v>2.0360000000000071</v>
      </c>
      <c r="AD208">
        <f t="shared" si="46"/>
        <v>282</v>
      </c>
      <c r="AE208">
        <f t="shared" si="47"/>
        <v>771.55200000000195</v>
      </c>
      <c r="AF208">
        <f>'FOB Data'!X220</f>
        <v>2.7360000000000069</v>
      </c>
      <c r="AH208">
        <f t="shared" si="48"/>
        <v>282</v>
      </c>
      <c r="AI208">
        <f t="shared" si="49"/>
        <v>686.95200000000204</v>
      </c>
      <c r="AJ208">
        <f>'FOB Data'!AA220</f>
        <v>2.436000000000007</v>
      </c>
    </row>
    <row r="209" spans="2:36">
      <c r="B209">
        <f t="shared" si="54"/>
        <v>283</v>
      </c>
      <c r="C209">
        <f t="shared" si="50"/>
        <v>679.19999999999993</v>
      </c>
      <c r="D209">
        <f>'FOB Data'!C221</f>
        <v>2.4</v>
      </c>
      <c r="F209">
        <f t="shared" si="55"/>
        <v>283</v>
      </c>
      <c r="G209">
        <f t="shared" si="51"/>
        <v>688.82200000000205</v>
      </c>
      <c r="H209">
        <f>'FOB Data'!F221</f>
        <v>2.4340000000000073</v>
      </c>
      <c r="J209">
        <f>'FOB Data'!H221</f>
        <v>283</v>
      </c>
      <c r="K209">
        <f t="shared" si="52"/>
        <v>589.17769999999666</v>
      </c>
      <c r="L209">
        <f>'FOB Data'!I221</f>
        <v>2.0818999999999881</v>
      </c>
      <c r="N209">
        <f>'FOB Data'!K221</f>
        <v>283</v>
      </c>
      <c r="O209">
        <f t="shared" si="53"/>
        <v>660.52200000000198</v>
      </c>
      <c r="P209">
        <f>'FOB Data'!L221</f>
        <v>2.3340000000000072</v>
      </c>
      <c r="R209">
        <f>'FOB Data'!N221</f>
        <v>283</v>
      </c>
      <c r="S209">
        <f t="shared" si="42"/>
        <v>660.52200000000198</v>
      </c>
      <c r="T209">
        <f>'FOB Data'!O221</f>
        <v>2.3340000000000072</v>
      </c>
      <c r="V209">
        <f>'FOB Data'!Q221</f>
        <v>283</v>
      </c>
      <c r="W209">
        <f t="shared" si="43"/>
        <v>490.72199999999998</v>
      </c>
      <c r="X209">
        <f>'FOB Data'!R221</f>
        <v>1.734</v>
      </c>
      <c r="Z209">
        <f t="shared" si="44"/>
        <v>283</v>
      </c>
      <c r="AA209">
        <f t="shared" si="45"/>
        <v>575.62200000000212</v>
      </c>
      <c r="AB209">
        <f>'FOB Data'!U221</f>
        <v>2.0340000000000074</v>
      </c>
      <c r="AD209">
        <f t="shared" si="46"/>
        <v>283</v>
      </c>
      <c r="AE209">
        <f t="shared" si="47"/>
        <v>773.72200000000203</v>
      </c>
      <c r="AF209">
        <f>'FOB Data'!X221</f>
        <v>2.7340000000000071</v>
      </c>
      <c r="AH209">
        <f t="shared" si="48"/>
        <v>283</v>
      </c>
      <c r="AI209">
        <f t="shared" si="49"/>
        <v>688.82200000000205</v>
      </c>
      <c r="AJ209">
        <f>'FOB Data'!AA221</f>
        <v>2.4340000000000073</v>
      </c>
    </row>
    <row r="210" spans="2:36">
      <c r="B210">
        <f t="shared" si="54"/>
        <v>284</v>
      </c>
      <c r="C210">
        <f t="shared" si="50"/>
        <v>681.6</v>
      </c>
      <c r="D210">
        <f>'FOB Data'!C222</f>
        <v>2.4</v>
      </c>
      <c r="F210">
        <f t="shared" si="55"/>
        <v>284</v>
      </c>
      <c r="G210">
        <f t="shared" si="51"/>
        <v>690.68800000000215</v>
      </c>
      <c r="H210">
        <f>'FOB Data'!F222</f>
        <v>2.4320000000000075</v>
      </c>
      <c r="J210">
        <f>'FOB Data'!H222</f>
        <v>284</v>
      </c>
      <c r="K210">
        <f t="shared" si="52"/>
        <v>591.06079999999656</v>
      </c>
      <c r="L210">
        <f>'FOB Data'!I222</f>
        <v>2.0811999999999879</v>
      </c>
      <c r="N210">
        <f>'FOB Data'!K222</f>
        <v>284</v>
      </c>
      <c r="O210">
        <f t="shared" si="53"/>
        <v>662.28800000000206</v>
      </c>
      <c r="P210">
        <f>'FOB Data'!L222</f>
        <v>2.3320000000000074</v>
      </c>
      <c r="R210">
        <f>'FOB Data'!N222</f>
        <v>284</v>
      </c>
      <c r="S210">
        <f t="shared" si="42"/>
        <v>662.28800000000206</v>
      </c>
      <c r="T210">
        <f>'FOB Data'!O222</f>
        <v>2.3320000000000074</v>
      </c>
      <c r="V210">
        <f>'FOB Data'!Q222</f>
        <v>284</v>
      </c>
      <c r="W210">
        <f t="shared" si="43"/>
        <v>491.88799999999998</v>
      </c>
      <c r="X210">
        <f>'FOB Data'!R222</f>
        <v>1.732</v>
      </c>
      <c r="Z210">
        <f t="shared" si="44"/>
        <v>284</v>
      </c>
      <c r="AA210">
        <f t="shared" si="45"/>
        <v>577.08800000000213</v>
      </c>
      <c r="AB210">
        <f>'FOB Data'!U222</f>
        <v>2.0320000000000076</v>
      </c>
      <c r="AD210">
        <f t="shared" si="46"/>
        <v>284</v>
      </c>
      <c r="AE210">
        <f t="shared" si="47"/>
        <v>775.88800000000208</v>
      </c>
      <c r="AF210">
        <f>'FOB Data'!X222</f>
        <v>2.7320000000000073</v>
      </c>
      <c r="AH210">
        <f t="shared" si="48"/>
        <v>284</v>
      </c>
      <c r="AI210">
        <f t="shared" si="49"/>
        <v>690.68800000000215</v>
      </c>
      <c r="AJ210">
        <f>'FOB Data'!AA222</f>
        <v>2.4320000000000075</v>
      </c>
    </row>
    <row r="211" spans="2:36">
      <c r="B211">
        <f t="shared" si="54"/>
        <v>285</v>
      </c>
      <c r="C211">
        <f t="shared" si="50"/>
        <v>684</v>
      </c>
      <c r="D211">
        <f>'FOB Data'!C223</f>
        <v>2.4</v>
      </c>
      <c r="F211">
        <f t="shared" si="55"/>
        <v>285</v>
      </c>
      <c r="G211">
        <f t="shared" si="51"/>
        <v>692.55000000000223</v>
      </c>
      <c r="H211">
        <f>'FOB Data'!F223</f>
        <v>2.4300000000000077</v>
      </c>
      <c r="J211">
        <f>'FOB Data'!H223</f>
        <v>285</v>
      </c>
      <c r="K211">
        <f t="shared" si="52"/>
        <v>592.94249999999647</v>
      </c>
      <c r="L211">
        <f>'FOB Data'!I223</f>
        <v>2.0804999999999878</v>
      </c>
      <c r="N211">
        <f>'FOB Data'!K223</f>
        <v>285</v>
      </c>
      <c r="O211">
        <f t="shared" si="53"/>
        <v>664.05000000000223</v>
      </c>
      <c r="P211">
        <f>'FOB Data'!L223</f>
        <v>2.3300000000000076</v>
      </c>
      <c r="R211">
        <f>'FOB Data'!N223</f>
        <v>285</v>
      </c>
      <c r="S211">
        <f t="shared" si="42"/>
        <v>664.05000000000223</v>
      </c>
      <c r="T211">
        <f>'FOB Data'!O223</f>
        <v>2.3300000000000076</v>
      </c>
      <c r="V211">
        <f>'FOB Data'!Q223</f>
        <v>285</v>
      </c>
      <c r="W211">
        <f t="shared" si="43"/>
        <v>493.05</v>
      </c>
      <c r="X211">
        <f>'FOB Data'!R223</f>
        <v>1.73</v>
      </c>
      <c r="Z211">
        <f t="shared" si="44"/>
        <v>285</v>
      </c>
      <c r="AA211">
        <f t="shared" si="45"/>
        <v>578.55000000000223</v>
      </c>
      <c r="AB211">
        <f>'FOB Data'!U223</f>
        <v>2.0300000000000078</v>
      </c>
      <c r="AD211">
        <f t="shared" si="46"/>
        <v>285</v>
      </c>
      <c r="AE211">
        <f t="shared" si="47"/>
        <v>778.05000000000211</v>
      </c>
      <c r="AF211">
        <f>'FOB Data'!X223</f>
        <v>2.7300000000000075</v>
      </c>
      <c r="AH211">
        <f t="shared" si="48"/>
        <v>285</v>
      </c>
      <c r="AI211">
        <f t="shared" si="49"/>
        <v>692.55000000000223</v>
      </c>
      <c r="AJ211">
        <f>'FOB Data'!AA223</f>
        <v>2.4300000000000077</v>
      </c>
    </row>
    <row r="212" spans="2:36">
      <c r="B212">
        <f t="shared" si="54"/>
        <v>286</v>
      </c>
      <c r="C212">
        <f t="shared" si="50"/>
        <v>686.4</v>
      </c>
      <c r="D212">
        <f>'FOB Data'!C224</f>
        <v>2.4</v>
      </c>
      <c r="F212">
        <f t="shared" si="55"/>
        <v>286</v>
      </c>
      <c r="G212">
        <f t="shared" si="51"/>
        <v>694.40800000000229</v>
      </c>
      <c r="H212">
        <f>'FOB Data'!F224</f>
        <v>2.4280000000000079</v>
      </c>
      <c r="J212">
        <f>'FOB Data'!H224</f>
        <v>286</v>
      </c>
      <c r="K212">
        <f t="shared" si="52"/>
        <v>594.8227999999965</v>
      </c>
      <c r="L212">
        <f>'FOB Data'!I224</f>
        <v>2.0797999999999877</v>
      </c>
      <c r="N212">
        <f>'FOB Data'!K224</f>
        <v>286</v>
      </c>
      <c r="O212">
        <f t="shared" si="53"/>
        <v>665.80800000000227</v>
      </c>
      <c r="P212">
        <f>'FOB Data'!L224</f>
        <v>2.3280000000000078</v>
      </c>
      <c r="R212">
        <f>'FOB Data'!N224</f>
        <v>286</v>
      </c>
      <c r="S212">
        <f t="shared" si="42"/>
        <v>665.80800000000227</v>
      </c>
      <c r="T212">
        <f>'FOB Data'!O224</f>
        <v>2.3280000000000078</v>
      </c>
      <c r="V212">
        <f>'FOB Data'!Q224</f>
        <v>286</v>
      </c>
      <c r="W212">
        <f t="shared" si="43"/>
        <v>494.20799999999997</v>
      </c>
      <c r="X212">
        <f>'FOB Data'!R224</f>
        <v>1.728</v>
      </c>
      <c r="Z212">
        <f t="shared" si="44"/>
        <v>286</v>
      </c>
      <c r="AA212">
        <f t="shared" si="45"/>
        <v>580.00800000000231</v>
      </c>
      <c r="AB212">
        <f>'FOB Data'!U224</f>
        <v>2.028000000000008</v>
      </c>
      <c r="AD212">
        <f t="shared" si="46"/>
        <v>286</v>
      </c>
      <c r="AE212">
        <f t="shared" si="47"/>
        <v>780.20800000000224</v>
      </c>
      <c r="AF212">
        <f>'FOB Data'!X224</f>
        <v>2.7280000000000078</v>
      </c>
      <c r="AH212">
        <f t="shared" si="48"/>
        <v>286</v>
      </c>
      <c r="AI212">
        <f t="shared" si="49"/>
        <v>694.40800000000229</v>
      </c>
      <c r="AJ212">
        <f>'FOB Data'!AA224</f>
        <v>2.4280000000000079</v>
      </c>
    </row>
    <row r="213" spans="2:36">
      <c r="B213">
        <f t="shared" si="54"/>
        <v>287</v>
      </c>
      <c r="C213">
        <f t="shared" si="50"/>
        <v>688.8</v>
      </c>
      <c r="D213">
        <f>'FOB Data'!C225</f>
        <v>2.4</v>
      </c>
      <c r="F213">
        <f t="shared" si="55"/>
        <v>287</v>
      </c>
      <c r="G213">
        <f t="shared" si="51"/>
        <v>696.26200000000233</v>
      </c>
      <c r="H213">
        <f>'FOB Data'!F225</f>
        <v>2.4260000000000081</v>
      </c>
      <c r="J213">
        <f>'FOB Data'!H225</f>
        <v>287</v>
      </c>
      <c r="K213">
        <f t="shared" si="52"/>
        <v>596.70169999999644</v>
      </c>
      <c r="L213">
        <f>'FOB Data'!I225</f>
        <v>2.0790999999999875</v>
      </c>
      <c r="N213">
        <f>'FOB Data'!K225</f>
        <v>287</v>
      </c>
      <c r="O213">
        <f t="shared" si="53"/>
        <v>667.56200000000229</v>
      </c>
      <c r="P213">
        <f>'FOB Data'!L225</f>
        <v>2.3260000000000081</v>
      </c>
      <c r="R213">
        <f>'FOB Data'!N225</f>
        <v>287</v>
      </c>
      <c r="S213">
        <f t="shared" si="42"/>
        <v>667.56200000000229</v>
      </c>
      <c r="T213">
        <f>'FOB Data'!O225</f>
        <v>2.3260000000000081</v>
      </c>
      <c r="V213">
        <f>'FOB Data'!Q225</f>
        <v>287</v>
      </c>
      <c r="W213">
        <f t="shared" si="43"/>
        <v>495.36199999999997</v>
      </c>
      <c r="X213">
        <f>'FOB Data'!R225</f>
        <v>1.726</v>
      </c>
      <c r="Z213">
        <f t="shared" si="44"/>
        <v>287</v>
      </c>
      <c r="AA213">
        <f t="shared" si="45"/>
        <v>581.46200000000238</v>
      </c>
      <c r="AB213">
        <f>'FOB Data'!U225</f>
        <v>2.0260000000000082</v>
      </c>
      <c r="AD213">
        <f t="shared" si="46"/>
        <v>287</v>
      </c>
      <c r="AE213">
        <f t="shared" si="47"/>
        <v>782.36200000000224</v>
      </c>
      <c r="AF213">
        <f>'FOB Data'!X225</f>
        <v>2.726000000000008</v>
      </c>
      <c r="AH213">
        <f t="shared" si="48"/>
        <v>287</v>
      </c>
      <c r="AI213">
        <f t="shared" si="49"/>
        <v>696.26200000000233</v>
      </c>
      <c r="AJ213">
        <f>'FOB Data'!AA225</f>
        <v>2.4260000000000081</v>
      </c>
    </row>
    <row r="214" spans="2:36">
      <c r="B214">
        <f t="shared" si="54"/>
        <v>288</v>
      </c>
      <c r="C214">
        <f t="shared" si="50"/>
        <v>691.19999999999993</v>
      </c>
      <c r="D214">
        <f>'FOB Data'!C226</f>
        <v>2.4</v>
      </c>
      <c r="F214">
        <f t="shared" si="55"/>
        <v>288</v>
      </c>
      <c r="G214">
        <f t="shared" si="51"/>
        <v>698.11200000000235</v>
      </c>
      <c r="H214">
        <f>'FOB Data'!F226</f>
        <v>2.4240000000000084</v>
      </c>
      <c r="J214">
        <f>'FOB Data'!H226</f>
        <v>288</v>
      </c>
      <c r="K214">
        <f t="shared" si="52"/>
        <v>598.57919999999638</v>
      </c>
      <c r="L214">
        <f>'FOB Data'!I226</f>
        <v>2.0783999999999874</v>
      </c>
      <c r="N214">
        <f>'FOB Data'!K226</f>
        <v>288</v>
      </c>
      <c r="O214">
        <f t="shared" si="53"/>
        <v>669.3120000000024</v>
      </c>
      <c r="P214">
        <f>'FOB Data'!L226</f>
        <v>2.3240000000000083</v>
      </c>
      <c r="R214">
        <f>'FOB Data'!N226</f>
        <v>288</v>
      </c>
      <c r="S214">
        <f t="shared" si="42"/>
        <v>669.3120000000024</v>
      </c>
      <c r="T214">
        <f>'FOB Data'!O226</f>
        <v>2.3240000000000083</v>
      </c>
      <c r="V214">
        <f>'FOB Data'!Q226</f>
        <v>288</v>
      </c>
      <c r="W214">
        <f t="shared" si="43"/>
        <v>496.512</v>
      </c>
      <c r="X214">
        <f>'FOB Data'!R226</f>
        <v>1.724</v>
      </c>
      <c r="Z214">
        <f t="shared" si="44"/>
        <v>288</v>
      </c>
      <c r="AA214">
        <f t="shared" si="45"/>
        <v>582.91200000000242</v>
      </c>
      <c r="AB214">
        <f>'FOB Data'!U226</f>
        <v>2.0240000000000085</v>
      </c>
      <c r="AD214">
        <f t="shared" si="46"/>
        <v>288</v>
      </c>
      <c r="AE214">
        <f t="shared" si="47"/>
        <v>784.51200000000233</v>
      </c>
      <c r="AF214">
        <f>'FOB Data'!X226</f>
        <v>2.7240000000000082</v>
      </c>
      <c r="AH214">
        <f t="shared" si="48"/>
        <v>288</v>
      </c>
      <c r="AI214">
        <f t="shared" si="49"/>
        <v>698.11200000000235</v>
      </c>
      <c r="AJ214">
        <f>'FOB Data'!AA226</f>
        <v>2.4240000000000084</v>
      </c>
    </row>
    <row r="215" spans="2:36">
      <c r="B215">
        <f t="shared" si="54"/>
        <v>289</v>
      </c>
      <c r="C215">
        <f t="shared" si="50"/>
        <v>693.6</v>
      </c>
      <c r="D215">
        <f>'FOB Data'!C227</f>
        <v>2.4</v>
      </c>
      <c r="F215">
        <f t="shared" si="55"/>
        <v>289</v>
      </c>
      <c r="G215">
        <f t="shared" si="51"/>
        <v>699.95800000000247</v>
      </c>
      <c r="H215">
        <f>'FOB Data'!F227</f>
        <v>2.4220000000000086</v>
      </c>
      <c r="J215">
        <f>'FOB Data'!H227</f>
        <v>289</v>
      </c>
      <c r="K215">
        <f t="shared" si="52"/>
        <v>600.45529999999633</v>
      </c>
      <c r="L215">
        <f>'FOB Data'!I227</f>
        <v>2.0776999999999872</v>
      </c>
      <c r="N215">
        <f>'FOB Data'!K227</f>
        <v>289</v>
      </c>
      <c r="O215">
        <f t="shared" si="53"/>
        <v>671.05800000000249</v>
      </c>
      <c r="P215">
        <f>'FOB Data'!L227</f>
        <v>2.3220000000000085</v>
      </c>
      <c r="R215">
        <f>'FOB Data'!N227</f>
        <v>289</v>
      </c>
      <c r="S215">
        <f t="shared" si="42"/>
        <v>671.05800000000249</v>
      </c>
      <c r="T215">
        <f>'FOB Data'!O227</f>
        <v>2.3220000000000085</v>
      </c>
      <c r="V215">
        <f>'FOB Data'!Q227</f>
        <v>289</v>
      </c>
      <c r="W215">
        <f t="shared" si="43"/>
        <v>497.65800000000002</v>
      </c>
      <c r="X215">
        <f>'FOB Data'!R227</f>
        <v>1.722</v>
      </c>
      <c r="Z215">
        <f t="shared" si="44"/>
        <v>289</v>
      </c>
      <c r="AA215">
        <f t="shared" si="45"/>
        <v>584.35800000000256</v>
      </c>
      <c r="AB215">
        <f>'FOB Data'!U227</f>
        <v>2.0220000000000087</v>
      </c>
      <c r="AD215">
        <f t="shared" si="46"/>
        <v>289</v>
      </c>
      <c r="AE215">
        <f t="shared" si="47"/>
        <v>786.6580000000024</v>
      </c>
      <c r="AF215">
        <f>'FOB Data'!X227</f>
        <v>2.7220000000000084</v>
      </c>
      <c r="AH215">
        <f t="shared" si="48"/>
        <v>289</v>
      </c>
      <c r="AI215">
        <f t="shared" si="49"/>
        <v>699.95800000000247</v>
      </c>
      <c r="AJ215">
        <f>'FOB Data'!AA227</f>
        <v>2.4220000000000086</v>
      </c>
    </row>
    <row r="216" spans="2:36">
      <c r="B216">
        <f t="shared" si="54"/>
        <v>290</v>
      </c>
      <c r="C216">
        <f t="shared" si="50"/>
        <v>696</v>
      </c>
      <c r="D216">
        <f>'FOB Data'!C228</f>
        <v>2.4</v>
      </c>
      <c r="F216">
        <f t="shared" si="55"/>
        <v>290</v>
      </c>
      <c r="G216">
        <f t="shared" si="51"/>
        <v>701.80000000000257</v>
      </c>
      <c r="H216">
        <f>'FOB Data'!F228</f>
        <v>2.4200000000000088</v>
      </c>
      <c r="J216">
        <f>'FOB Data'!H228</f>
        <v>290</v>
      </c>
      <c r="K216">
        <f t="shared" si="52"/>
        <v>602.32999999999629</v>
      </c>
      <c r="L216">
        <f>'FOB Data'!I228</f>
        <v>2.0769999999999871</v>
      </c>
      <c r="N216">
        <f>'FOB Data'!K228</f>
        <v>290</v>
      </c>
      <c r="O216">
        <f t="shared" si="53"/>
        <v>672.80000000000257</v>
      </c>
      <c r="P216">
        <f>'FOB Data'!L228</f>
        <v>2.3200000000000087</v>
      </c>
      <c r="R216">
        <f>'FOB Data'!N228</f>
        <v>290</v>
      </c>
      <c r="S216">
        <f t="shared" si="42"/>
        <v>672.80000000000257</v>
      </c>
      <c r="T216">
        <f>'FOB Data'!O228</f>
        <v>2.3200000000000087</v>
      </c>
      <c r="V216">
        <f>'FOB Data'!Q228</f>
        <v>290</v>
      </c>
      <c r="W216">
        <f t="shared" si="43"/>
        <v>498.8</v>
      </c>
      <c r="X216">
        <f>'FOB Data'!R228</f>
        <v>1.72</v>
      </c>
      <c r="Z216">
        <f t="shared" si="44"/>
        <v>290</v>
      </c>
      <c r="AA216">
        <f t="shared" si="45"/>
        <v>585.80000000000257</v>
      </c>
      <c r="AB216">
        <f>'FOB Data'!U228</f>
        <v>2.0200000000000089</v>
      </c>
      <c r="AD216">
        <f t="shared" si="46"/>
        <v>290</v>
      </c>
      <c r="AE216">
        <f t="shared" si="47"/>
        <v>788.80000000000246</v>
      </c>
      <c r="AF216">
        <f>'FOB Data'!X228</f>
        <v>2.7200000000000086</v>
      </c>
      <c r="AH216">
        <f t="shared" si="48"/>
        <v>290</v>
      </c>
      <c r="AI216">
        <f t="shared" si="49"/>
        <v>701.80000000000257</v>
      </c>
      <c r="AJ216">
        <f>'FOB Data'!AA228</f>
        <v>2.4200000000000088</v>
      </c>
    </row>
    <row r="217" spans="2:36">
      <c r="B217">
        <f t="shared" si="54"/>
        <v>291</v>
      </c>
      <c r="C217">
        <f t="shared" si="50"/>
        <v>698.4</v>
      </c>
      <c r="D217">
        <f>'FOB Data'!C229</f>
        <v>2.4</v>
      </c>
      <c r="F217">
        <f t="shared" si="55"/>
        <v>291</v>
      </c>
      <c r="G217">
        <f t="shared" si="51"/>
        <v>703.63800000000265</v>
      </c>
      <c r="H217">
        <f>'FOB Data'!F229</f>
        <v>2.418000000000009</v>
      </c>
      <c r="J217">
        <f>'FOB Data'!H229</f>
        <v>291</v>
      </c>
      <c r="K217">
        <f t="shared" si="52"/>
        <v>604.20329999999615</v>
      </c>
      <c r="L217">
        <f>'FOB Data'!I229</f>
        <v>2.0762999999999869</v>
      </c>
      <c r="N217">
        <f>'FOB Data'!K229</f>
        <v>291</v>
      </c>
      <c r="O217">
        <f t="shared" si="53"/>
        <v>674.53800000000263</v>
      </c>
      <c r="P217">
        <f>'FOB Data'!L229</f>
        <v>2.3180000000000089</v>
      </c>
      <c r="R217">
        <f>'FOB Data'!N229</f>
        <v>291</v>
      </c>
      <c r="S217">
        <f t="shared" si="42"/>
        <v>674.53800000000263</v>
      </c>
      <c r="T217">
        <f>'FOB Data'!O229</f>
        <v>2.3180000000000089</v>
      </c>
      <c r="V217">
        <f>'FOB Data'!Q229</f>
        <v>291</v>
      </c>
      <c r="W217">
        <f t="shared" si="43"/>
        <v>499.93799999999999</v>
      </c>
      <c r="X217">
        <f>'FOB Data'!R229</f>
        <v>1.718</v>
      </c>
      <c r="Z217">
        <f t="shared" si="44"/>
        <v>291</v>
      </c>
      <c r="AA217">
        <f t="shared" si="45"/>
        <v>587.23800000000267</v>
      </c>
      <c r="AB217">
        <f>'FOB Data'!U229</f>
        <v>2.0180000000000091</v>
      </c>
      <c r="AD217">
        <f t="shared" si="46"/>
        <v>291</v>
      </c>
      <c r="AE217">
        <f t="shared" si="47"/>
        <v>790.9380000000026</v>
      </c>
      <c r="AF217">
        <f>'FOB Data'!X229</f>
        <v>2.7180000000000089</v>
      </c>
      <c r="AH217">
        <f t="shared" si="48"/>
        <v>291</v>
      </c>
      <c r="AI217">
        <f t="shared" si="49"/>
        <v>703.63800000000265</v>
      </c>
      <c r="AJ217">
        <f>'FOB Data'!AA229</f>
        <v>2.418000000000009</v>
      </c>
    </row>
    <row r="218" spans="2:36">
      <c r="B218">
        <f t="shared" si="54"/>
        <v>292</v>
      </c>
      <c r="C218">
        <f t="shared" si="50"/>
        <v>700.8</v>
      </c>
      <c r="D218">
        <f>'FOB Data'!C230</f>
        <v>2.4</v>
      </c>
      <c r="F218">
        <f t="shared" si="55"/>
        <v>292</v>
      </c>
      <c r="G218">
        <f t="shared" si="51"/>
        <v>705.47200000000271</v>
      </c>
      <c r="H218">
        <f>'FOB Data'!F230</f>
        <v>2.4160000000000093</v>
      </c>
      <c r="J218">
        <f>'FOB Data'!H230</f>
        <v>292</v>
      </c>
      <c r="K218">
        <f t="shared" si="52"/>
        <v>606.07519999999613</v>
      </c>
      <c r="L218">
        <f>'FOB Data'!I230</f>
        <v>2.0755999999999868</v>
      </c>
      <c r="N218">
        <f>'FOB Data'!K230</f>
        <v>292</v>
      </c>
      <c r="O218">
        <f t="shared" si="53"/>
        <v>676.27200000000266</v>
      </c>
      <c r="P218">
        <f>'FOB Data'!L230</f>
        <v>2.3160000000000092</v>
      </c>
      <c r="R218">
        <f>'FOB Data'!N230</f>
        <v>292</v>
      </c>
      <c r="S218">
        <f t="shared" si="42"/>
        <v>676.27200000000266</v>
      </c>
      <c r="T218">
        <f>'FOB Data'!O230</f>
        <v>2.3160000000000092</v>
      </c>
      <c r="V218">
        <f>'FOB Data'!Q230</f>
        <v>292</v>
      </c>
      <c r="W218">
        <f t="shared" si="43"/>
        <v>501.072</v>
      </c>
      <c r="X218">
        <f>'FOB Data'!R230</f>
        <v>1.716</v>
      </c>
      <c r="Z218">
        <f t="shared" si="44"/>
        <v>292</v>
      </c>
      <c r="AA218">
        <f t="shared" si="45"/>
        <v>588.67200000000275</v>
      </c>
      <c r="AB218">
        <f>'FOB Data'!U230</f>
        <v>2.0160000000000093</v>
      </c>
      <c r="AD218">
        <f t="shared" si="46"/>
        <v>292</v>
      </c>
      <c r="AE218">
        <f t="shared" si="47"/>
        <v>793.07200000000262</v>
      </c>
      <c r="AF218">
        <f>'FOB Data'!X230</f>
        <v>2.7160000000000091</v>
      </c>
      <c r="AH218">
        <f t="shared" si="48"/>
        <v>292</v>
      </c>
      <c r="AI218">
        <f t="shared" si="49"/>
        <v>705.47200000000271</v>
      </c>
      <c r="AJ218">
        <f>'FOB Data'!AA230</f>
        <v>2.4160000000000093</v>
      </c>
    </row>
    <row r="219" spans="2:36">
      <c r="B219">
        <f t="shared" si="54"/>
        <v>293</v>
      </c>
      <c r="C219">
        <f t="shared" si="50"/>
        <v>703.19999999999993</v>
      </c>
      <c r="D219">
        <f>'FOB Data'!C231</f>
        <v>2.4</v>
      </c>
      <c r="F219">
        <f t="shared" si="55"/>
        <v>293</v>
      </c>
      <c r="G219">
        <f t="shared" si="51"/>
        <v>707.30200000000275</v>
      </c>
      <c r="H219">
        <f>'FOB Data'!F231</f>
        <v>2.4140000000000095</v>
      </c>
      <c r="J219">
        <f>'FOB Data'!H231</f>
        <v>293</v>
      </c>
      <c r="K219">
        <f t="shared" si="52"/>
        <v>607.94569999999612</v>
      </c>
      <c r="L219">
        <f>'FOB Data'!I231</f>
        <v>2.0748999999999866</v>
      </c>
      <c r="N219">
        <f>'FOB Data'!K231</f>
        <v>293</v>
      </c>
      <c r="O219">
        <f t="shared" si="53"/>
        <v>678.00200000000279</v>
      </c>
      <c r="P219">
        <f>'FOB Data'!L231</f>
        <v>2.3140000000000094</v>
      </c>
      <c r="R219">
        <f>'FOB Data'!N231</f>
        <v>293</v>
      </c>
      <c r="S219">
        <f t="shared" si="42"/>
        <v>678.00200000000279</v>
      </c>
      <c r="T219">
        <f>'FOB Data'!O231</f>
        <v>2.3140000000000094</v>
      </c>
      <c r="V219">
        <f>'FOB Data'!Q231</f>
        <v>293</v>
      </c>
      <c r="W219">
        <f t="shared" si="43"/>
        <v>502.202</v>
      </c>
      <c r="X219">
        <f>'FOB Data'!R231</f>
        <v>1.714</v>
      </c>
      <c r="Z219">
        <f t="shared" si="44"/>
        <v>293</v>
      </c>
      <c r="AA219">
        <f t="shared" si="45"/>
        <v>590.10200000000282</v>
      </c>
      <c r="AB219">
        <f>'FOB Data'!U231</f>
        <v>2.0140000000000096</v>
      </c>
      <c r="AD219">
        <f t="shared" si="46"/>
        <v>293</v>
      </c>
      <c r="AE219">
        <f t="shared" si="47"/>
        <v>795.20200000000273</v>
      </c>
      <c r="AF219">
        <f>'FOB Data'!X231</f>
        <v>2.7140000000000093</v>
      </c>
      <c r="AH219">
        <f t="shared" si="48"/>
        <v>293</v>
      </c>
      <c r="AI219">
        <f t="shared" si="49"/>
        <v>707.30200000000275</v>
      </c>
      <c r="AJ219">
        <f>'FOB Data'!AA231</f>
        <v>2.4140000000000095</v>
      </c>
    </row>
    <row r="220" spans="2:36">
      <c r="B220">
        <f t="shared" si="54"/>
        <v>294</v>
      </c>
      <c r="C220">
        <f t="shared" si="50"/>
        <v>705.6</v>
      </c>
      <c r="D220">
        <f>'FOB Data'!C232</f>
        <v>2.4</v>
      </c>
      <c r="F220">
        <f t="shared" si="55"/>
        <v>294</v>
      </c>
      <c r="G220">
        <f t="shared" si="51"/>
        <v>709.12800000000288</v>
      </c>
      <c r="H220">
        <f>'FOB Data'!F232</f>
        <v>2.4120000000000097</v>
      </c>
      <c r="J220">
        <f>'FOB Data'!H232</f>
        <v>294</v>
      </c>
      <c r="K220">
        <f t="shared" si="52"/>
        <v>609.81479999999601</v>
      </c>
      <c r="L220">
        <f>'FOB Data'!I232</f>
        <v>2.0741999999999865</v>
      </c>
      <c r="N220">
        <f>'FOB Data'!K232</f>
        <v>294</v>
      </c>
      <c r="O220">
        <f t="shared" si="53"/>
        <v>679.72800000000279</v>
      </c>
      <c r="P220">
        <f>'FOB Data'!L232</f>
        <v>2.3120000000000096</v>
      </c>
      <c r="R220">
        <f>'FOB Data'!N232</f>
        <v>294</v>
      </c>
      <c r="S220">
        <f t="shared" si="42"/>
        <v>679.72800000000279</v>
      </c>
      <c r="T220">
        <f>'FOB Data'!O232</f>
        <v>2.3120000000000096</v>
      </c>
      <c r="V220">
        <f>'FOB Data'!Q232</f>
        <v>294</v>
      </c>
      <c r="W220">
        <f t="shared" si="43"/>
        <v>503.32799999999997</v>
      </c>
      <c r="X220">
        <f>'FOB Data'!R232</f>
        <v>1.712</v>
      </c>
      <c r="Z220">
        <f t="shared" si="44"/>
        <v>294</v>
      </c>
      <c r="AA220">
        <f t="shared" si="45"/>
        <v>591.52800000000286</v>
      </c>
      <c r="AB220">
        <f>'FOB Data'!U232</f>
        <v>2.0120000000000098</v>
      </c>
      <c r="AD220">
        <f t="shared" si="46"/>
        <v>294</v>
      </c>
      <c r="AE220">
        <f t="shared" si="47"/>
        <v>797.32800000000282</v>
      </c>
      <c r="AF220">
        <f>'FOB Data'!X232</f>
        <v>2.7120000000000095</v>
      </c>
      <c r="AH220">
        <f t="shared" si="48"/>
        <v>294</v>
      </c>
      <c r="AI220">
        <f t="shared" si="49"/>
        <v>709.12800000000288</v>
      </c>
      <c r="AJ220">
        <f>'FOB Data'!AA232</f>
        <v>2.4120000000000097</v>
      </c>
    </row>
    <row r="221" spans="2:36">
      <c r="B221">
        <f t="shared" si="54"/>
        <v>295</v>
      </c>
      <c r="C221">
        <f t="shared" si="50"/>
        <v>708</v>
      </c>
      <c r="D221">
        <f>'FOB Data'!C233</f>
        <v>2.4</v>
      </c>
      <c r="F221">
        <f t="shared" si="55"/>
        <v>295</v>
      </c>
      <c r="G221">
        <f t="shared" si="51"/>
        <v>710.95000000000289</v>
      </c>
      <c r="H221">
        <f>'FOB Data'!F233</f>
        <v>2.4100000000000099</v>
      </c>
      <c r="J221">
        <f>'FOB Data'!H233</f>
        <v>295</v>
      </c>
      <c r="K221">
        <f t="shared" si="52"/>
        <v>611.68249999999603</v>
      </c>
      <c r="L221">
        <f>'FOB Data'!I233</f>
        <v>2.0734999999999864</v>
      </c>
      <c r="N221">
        <f>'FOB Data'!K233</f>
        <v>295</v>
      </c>
      <c r="O221">
        <f t="shared" si="53"/>
        <v>681.45000000000289</v>
      </c>
      <c r="P221">
        <f>'FOB Data'!L233</f>
        <v>2.3100000000000098</v>
      </c>
      <c r="R221">
        <f>'FOB Data'!N233</f>
        <v>295</v>
      </c>
      <c r="S221">
        <f t="shared" si="42"/>
        <v>681.45000000000289</v>
      </c>
      <c r="T221">
        <f>'FOB Data'!O233</f>
        <v>2.3100000000000098</v>
      </c>
      <c r="V221">
        <f>'FOB Data'!Q233</f>
        <v>295</v>
      </c>
      <c r="W221">
        <f t="shared" si="43"/>
        <v>504.45</v>
      </c>
      <c r="X221">
        <f>'FOB Data'!R233</f>
        <v>1.71</v>
      </c>
      <c r="Z221">
        <f t="shared" si="44"/>
        <v>295</v>
      </c>
      <c r="AA221">
        <f t="shared" si="45"/>
        <v>592.950000000003</v>
      </c>
      <c r="AB221">
        <f>'FOB Data'!U233</f>
        <v>2.01000000000001</v>
      </c>
      <c r="AD221">
        <f t="shared" si="46"/>
        <v>295</v>
      </c>
      <c r="AE221">
        <f t="shared" si="47"/>
        <v>799.45000000000289</v>
      </c>
      <c r="AF221">
        <f>'FOB Data'!X233</f>
        <v>2.7100000000000097</v>
      </c>
      <c r="AH221">
        <f t="shared" si="48"/>
        <v>295</v>
      </c>
      <c r="AI221">
        <f t="shared" si="49"/>
        <v>710.95000000000289</v>
      </c>
      <c r="AJ221">
        <f>'FOB Data'!AA233</f>
        <v>2.4100000000000099</v>
      </c>
    </row>
    <row r="222" spans="2:36">
      <c r="B222">
        <f t="shared" si="54"/>
        <v>296</v>
      </c>
      <c r="C222">
        <f t="shared" si="50"/>
        <v>710.4</v>
      </c>
      <c r="D222">
        <f>'FOB Data'!C234</f>
        <v>2.4</v>
      </c>
      <c r="F222">
        <f t="shared" si="55"/>
        <v>296</v>
      </c>
      <c r="G222">
        <f t="shared" si="51"/>
        <v>712.76800000000298</v>
      </c>
      <c r="H222">
        <f>'FOB Data'!F234</f>
        <v>2.4080000000000101</v>
      </c>
      <c r="J222">
        <f>'FOB Data'!H234</f>
        <v>296</v>
      </c>
      <c r="K222">
        <f t="shared" si="52"/>
        <v>613.54879999999594</v>
      </c>
      <c r="L222">
        <f>'FOB Data'!I234</f>
        <v>2.0727999999999862</v>
      </c>
      <c r="N222">
        <f>'FOB Data'!K234</f>
        <v>296</v>
      </c>
      <c r="O222">
        <f t="shared" si="53"/>
        <v>683.16800000000296</v>
      </c>
      <c r="P222">
        <f>'FOB Data'!L234</f>
        <v>2.30800000000001</v>
      </c>
      <c r="R222">
        <f>'FOB Data'!N234</f>
        <v>296</v>
      </c>
      <c r="S222">
        <f t="shared" si="42"/>
        <v>683.16800000000296</v>
      </c>
      <c r="T222">
        <f>'FOB Data'!O234</f>
        <v>2.30800000000001</v>
      </c>
      <c r="V222">
        <f>'FOB Data'!Q234</f>
        <v>296</v>
      </c>
      <c r="W222">
        <f t="shared" si="43"/>
        <v>505.56799999999998</v>
      </c>
      <c r="X222">
        <f>'FOB Data'!R234</f>
        <v>1.708</v>
      </c>
      <c r="Z222">
        <f t="shared" si="44"/>
        <v>296</v>
      </c>
      <c r="AA222">
        <f t="shared" si="45"/>
        <v>594.36800000000301</v>
      </c>
      <c r="AB222">
        <f>'FOB Data'!U234</f>
        <v>2.0080000000000102</v>
      </c>
      <c r="AD222">
        <f t="shared" si="46"/>
        <v>296</v>
      </c>
      <c r="AE222">
        <f t="shared" si="47"/>
        <v>801.56800000000294</v>
      </c>
      <c r="AF222">
        <f>'FOB Data'!X234</f>
        <v>2.70800000000001</v>
      </c>
      <c r="AH222">
        <f t="shared" si="48"/>
        <v>296</v>
      </c>
      <c r="AI222">
        <f t="shared" si="49"/>
        <v>712.76800000000298</v>
      </c>
      <c r="AJ222">
        <f>'FOB Data'!AA234</f>
        <v>2.4080000000000101</v>
      </c>
    </row>
    <row r="223" spans="2:36">
      <c r="B223">
        <f t="shared" si="54"/>
        <v>297</v>
      </c>
      <c r="C223">
        <f t="shared" si="50"/>
        <v>712.8</v>
      </c>
      <c r="D223">
        <f>'FOB Data'!C235</f>
        <v>2.4</v>
      </c>
      <c r="F223">
        <f t="shared" si="55"/>
        <v>297</v>
      </c>
      <c r="G223">
        <f t="shared" si="51"/>
        <v>714.58200000000306</v>
      </c>
      <c r="H223">
        <f>'FOB Data'!F235</f>
        <v>2.4060000000000104</v>
      </c>
      <c r="J223">
        <f>'FOB Data'!H235</f>
        <v>297</v>
      </c>
      <c r="K223">
        <f t="shared" si="52"/>
        <v>615.41369999999586</v>
      </c>
      <c r="L223">
        <f>'FOB Data'!I235</f>
        <v>2.0720999999999861</v>
      </c>
      <c r="N223">
        <f>'FOB Data'!K235</f>
        <v>297</v>
      </c>
      <c r="O223">
        <f t="shared" si="53"/>
        <v>684.88200000000302</v>
      </c>
      <c r="P223">
        <f>'FOB Data'!L235</f>
        <v>2.3060000000000103</v>
      </c>
      <c r="R223">
        <f>'FOB Data'!N235</f>
        <v>297</v>
      </c>
      <c r="S223">
        <f t="shared" si="42"/>
        <v>684.88200000000302</v>
      </c>
      <c r="T223">
        <f>'FOB Data'!O235</f>
        <v>2.3060000000000103</v>
      </c>
      <c r="V223">
        <f>'FOB Data'!Q235</f>
        <v>297</v>
      </c>
      <c r="W223">
        <f t="shared" si="43"/>
        <v>506.68200000000002</v>
      </c>
      <c r="X223">
        <f>'FOB Data'!R235</f>
        <v>1.706</v>
      </c>
      <c r="Z223">
        <f t="shared" si="44"/>
        <v>297</v>
      </c>
      <c r="AA223">
        <f t="shared" si="45"/>
        <v>595.78200000000311</v>
      </c>
      <c r="AB223">
        <f>'FOB Data'!U235</f>
        <v>2.0060000000000104</v>
      </c>
      <c r="AD223">
        <f t="shared" si="46"/>
        <v>297</v>
      </c>
      <c r="AE223">
        <f t="shared" si="47"/>
        <v>803.68200000000297</v>
      </c>
      <c r="AF223">
        <f>'FOB Data'!X235</f>
        <v>2.7060000000000102</v>
      </c>
      <c r="AH223">
        <f t="shared" si="48"/>
        <v>297</v>
      </c>
      <c r="AI223">
        <f t="shared" si="49"/>
        <v>714.58200000000306</v>
      </c>
      <c r="AJ223">
        <f>'FOB Data'!AA235</f>
        <v>2.4060000000000104</v>
      </c>
    </row>
    <row r="224" spans="2:36">
      <c r="B224">
        <f t="shared" si="54"/>
        <v>298</v>
      </c>
      <c r="C224">
        <f t="shared" si="50"/>
        <v>715.19999999999993</v>
      </c>
      <c r="D224">
        <f>'FOB Data'!C236</f>
        <v>2.4</v>
      </c>
      <c r="F224">
        <f t="shared" si="55"/>
        <v>298</v>
      </c>
      <c r="G224">
        <f t="shared" si="51"/>
        <v>716.39200000000312</v>
      </c>
      <c r="H224">
        <f>'FOB Data'!F236</f>
        <v>2.4040000000000106</v>
      </c>
      <c r="J224">
        <f>'FOB Data'!H236</f>
        <v>298</v>
      </c>
      <c r="K224">
        <f t="shared" si="52"/>
        <v>617.27719999999579</v>
      </c>
      <c r="L224">
        <f>'FOB Data'!I236</f>
        <v>2.0713999999999859</v>
      </c>
      <c r="N224">
        <f>'FOB Data'!K236</f>
        <v>298</v>
      </c>
      <c r="O224">
        <f t="shared" si="53"/>
        <v>686.59200000000317</v>
      </c>
      <c r="P224">
        <f>'FOB Data'!L236</f>
        <v>2.3040000000000105</v>
      </c>
      <c r="R224">
        <f>'FOB Data'!N236</f>
        <v>298</v>
      </c>
      <c r="S224">
        <f t="shared" si="42"/>
        <v>686.59200000000317</v>
      </c>
      <c r="T224">
        <f>'FOB Data'!O236</f>
        <v>2.3040000000000105</v>
      </c>
      <c r="V224">
        <f>'FOB Data'!Q236</f>
        <v>298</v>
      </c>
      <c r="W224">
        <f t="shared" si="43"/>
        <v>507.79199999999997</v>
      </c>
      <c r="X224">
        <f>'FOB Data'!R236</f>
        <v>1.704</v>
      </c>
      <c r="Z224">
        <f t="shared" si="44"/>
        <v>298</v>
      </c>
      <c r="AA224">
        <f t="shared" si="45"/>
        <v>597.19200000000319</v>
      </c>
      <c r="AB224">
        <f>'FOB Data'!U236</f>
        <v>2.0040000000000107</v>
      </c>
      <c r="AD224">
        <f t="shared" si="46"/>
        <v>298</v>
      </c>
      <c r="AE224">
        <f t="shared" si="47"/>
        <v>805.7920000000031</v>
      </c>
      <c r="AF224">
        <f>'FOB Data'!X236</f>
        <v>2.7040000000000104</v>
      </c>
      <c r="AH224">
        <f t="shared" si="48"/>
        <v>298</v>
      </c>
      <c r="AI224">
        <f t="shared" si="49"/>
        <v>716.39200000000312</v>
      </c>
      <c r="AJ224">
        <f>'FOB Data'!AA236</f>
        <v>2.4040000000000106</v>
      </c>
    </row>
    <row r="225" spans="2:36">
      <c r="B225">
        <f t="shared" si="54"/>
        <v>299</v>
      </c>
      <c r="C225">
        <f t="shared" si="50"/>
        <v>717.6</v>
      </c>
      <c r="D225">
        <f>'FOB Data'!C237</f>
        <v>2.4</v>
      </c>
      <c r="F225">
        <f t="shared" si="55"/>
        <v>299</v>
      </c>
      <c r="G225">
        <f t="shared" si="51"/>
        <v>718.19800000000328</v>
      </c>
      <c r="H225">
        <f>'FOB Data'!F237</f>
        <v>2.4020000000000108</v>
      </c>
      <c r="J225">
        <f>'FOB Data'!H237</f>
        <v>299</v>
      </c>
      <c r="K225">
        <f t="shared" si="52"/>
        <v>619.13929999999573</v>
      </c>
      <c r="L225">
        <f>'FOB Data'!I237</f>
        <v>2.0706999999999858</v>
      </c>
      <c r="N225">
        <f>'FOB Data'!K237</f>
        <v>299</v>
      </c>
      <c r="O225">
        <f t="shared" si="53"/>
        <v>688.29800000000319</v>
      </c>
      <c r="P225">
        <f>'FOB Data'!L237</f>
        <v>2.3020000000000107</v>
      </c>
      <c r="R225">
        <f>'FOB Data'!N237</f>
        <v>299</v>
      </c>
      <c r="S225">
        <f t="shared" si="42"/>
        <v>688.29800000000319</v>
      </c>
      <c r="T225">
        <f>'FOB Data'!O237</f>
        <v>2.3020000000000107</v>
      </c>
      <c r="V225">
        <f>'FOB Data'!Q237</f>
        <v>299</v>
      </c>
      <c r="W225">
        <f t="shared" si="43"/>
        <v>508.89799999999997</v>
      </c>
      <c r="X225">
        <f>'FOB Data'!R237</f>
        <v>1.702</v>
      </c>
      <c r="Z225">
        <f t="shared" si="44"/>
        <v>299</v>
      </c>
      <c r="AA225">
        <f t="shared" si="45"/>
        <v>598.59800000000325</v>
      </c>
      <c r="AB225">
        <f>'FOB Data'!U237</f>
        <v>2.0020000000000109</v>
      </c>
      <c r="AD225">
        <f t="shared" si="46"/>
        <v>299</v>
      </c>
      <c r="AE225">
        <f t="shared" si="47"/>
        <v>807.89800000000321</v>
      </c>
      <c r="AF225">
        <f>'FOB Data'!X237</f>
        <v>2.7020000000000106</v>
      </c>
      <c r="AH225">
        <f t="shared" si="48"/>
        <v>299</v>
      </c>
      <c r="AI225">
        <f t="shared" si="49"/>
        <v>718.19800000000328</v>
      </c>
      <c r="AJ225">
        <f>'FOB Data'!AA237</f>
        <v>2.4020000000000108</v>
      </c>
    </row>
    <row r="226" spans="2:36">
      <c r="B226">
        <f t="shared" si="54"/>
        <v>300</v>
      </c>
      <c r="C226">
        <f t="shared" si="50"/>
        <v>720</v>
      </c>
      <c r="D226">
        <f>'FOB Data'!C238</f>
        <v>2.4</v>
      </c>
      <c r="F226">
        <f t="shared" si="55"/>
        <v>300</v>
      </c>
      <c r="G226">
        <f t="shared" si="51"/>
        <v>720</v>
      </c>
      <c r="H226">
        <f>'FOB Data'!F238</f>
        <v>2.4</v>
      </c>
      <c r="J226">
        <f>'FOB Data'!H238</f>
        <v>300</v>
      </c>
      <c r="K226">
        <f t="shared" si="52"/>
        <v>621</v>
      </c>
      <c r="L226">
        <f>'FOB Data'!I238</f>
        <v>2.0699999999999998</v>
      </c>
      <c r="N226">
        <f>'FOB Data'!K238</f>
        <v>300</v>
      </c>
      <c r="O226">
        <f t="shared" si="53"/>
        <v>690</v>
      </c>
      <c r="P226">
        <f>'FOB Data'!L238</f>
        <v>2.2999999999999998</v>
      </c>
      <c r="R226">
        <f>'FOB Data'!N238</f>
        <v>300</v>
      </c>
      <c r="S226">
        <f t="shared" si="42"/>
        <v>690.0000000000033</v>
      </c>
      <c r="T226">
        <f>'FOB Data'!O238</f>
        <v>2.3000000000000109</v>
      </c>
      <c r="V226">
        <f>'FOB Data'!Q238</f>
        <v>300</v>
      </c>
      <c r="W226">
        <f t="shared" si="43"/>
        <v>510</v>
      </c>
      <c r="X226">
        <f>'FOB Data'!R238</f>
        <v>1.7</v>
      </c>
      <c r="Z226">
        <f t="shared" si="44"/>
        <v>300</v>
      </c>
      <c r="AA226">
        <f t="shared" si="45"/>
        <v>600.0000000000033</v>
      </c>
      <c r="AB226">
        <f>'FOB Data'!U238</f>
        <v>2.0000000000000111</v>
      </c>
      <c r="AD226">
        <f t="shared" si="46"/>
        <v>300</v>
      </c>
      <c r="AE226">
        <f t="shared" si="47"/>
        <v>810.0000000000033</v>
      </c>
      <c r="AF226">
        <f>'FOB Data'!X238</f>
        <v>2.7000000000000108</v>
      </c>
      <c r="AH226">
        <f t="shared" si="48"/>
        <v>300</v>
      </c>
      <c r="AI226">
        <f t="shared" si="49"/>
        <v>720.0000000000033</v>
      </c>
      <c r="AJ226">
        <f>'FOB Data'!AA238</f>
        <v>2.400000000000011</v>
      </c>
    </row>
  </sheetData>
  <sheetProtection algorithmName="SHA-512" hashValue="qzoK569N/qtnbMxTrY8xngidNWAtktJWVNhsyBlXcyhXxWelGCcAHBFTI7BpXx7kXlO6SbStoRafF1NJzSaKxg==" saltValue="3HtnRmEU1cGWRZ8XQoE7bA==" spinCount="100000" sheet="1" objects="1" scenarios="1"/>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B5E60-EB84-4971-9D0F-D7338E40047A}">
  <sheetPr>
    <tabColor theme="7"/>
  </sheetPr>
  <dimension ref="B2:D27"/>
  <sheetViews>
    <sheetView topLeftCell="A5" workbookViewId="0">
      <selection activeCell="C12" sqref="C12"/>
    </sheetView>
  </sheetViews>
  <sheetFormatPr defaultColWidth="9.08203125" defaultRowHeight="20"/>
  <cols>
    <col min="1" max="1" width="14.33203125" style="454" customWidth="1"/>
    <col min="2" max="2" width="126.58203125" style="454" bestFit="1" customWidth="1"/>
    <col min="3" max="3" width="20.83203125" style="454" customWidth="1"/>
    <col min="4" max="4" width="64.5" style="454" bestFit="1" customWidth="1"/>
    <col min="5" max="16384" width="9.08203125" style="454"/>
  </cols>
  <sheetData>
    <row r="2" spans="2:4" ht="18" customHeight="1"/>
    <row r="3" spans="2:4" ht="60" customHeight="1">
      <c r="B3" s="887" t="s">
        <v>766</v>
      </c>
      <c r="C3" s="887"/>
      <c r="D3" s="887"/>
    </row>
    <row r="4" spans="2:4" ht="20.149999999999999" customHeight="1">
      <c r="B4" s="558"/>
      <c r="C4" s="558"/>
      <c r="D4" s="558"/>
    </row>
    <row r="5" spans="2:4">
      <c r="B5" s="464" t="s">
        <v>254</v>
      </c>
      <c r="C5" s="468">
        <v>106</v>
      </c>
      <c r="D5" s="465" t="s">
        <v>334</v>
      </c>
    </row>
    <row r="6" spans="2:4">
      <c r="B6" s="464" t="s">
        <v>767</v>
      </c>
      <c r="C6" s="469">
        <f>'Exchange Rate data'!D59</f>
        <v>6.1302729999999999</v>
      </c>
    </row>
    <row r="7" spans="2:4">
      <c r="B7" s="457" t="s">
        <v>768</v>
      </c>
      <c r="C7" s="576">
        <f>C5*C6</f>
        <v>649.80893800000001</v>
      </c>
    </row>
    <row r="8" spans="2:4" ht="40">
      <c r="B8" s="471" t="s">
        <v>769</v>
      </c>
      <c r="C8" s="577">
        <v>110</v>
      </c>
    </row>
    <row r="9" spans="2:4">
      <c r="B9" s="459" t="s">
        <v>770</v>
      </c>
      <c r="C9" s="574">
        <v>15.65</v>
      </c>
      <c r="D9" s="573" t="s">
        <v>775</v>
      </c>
    </row>
    <row r="10" spans="2:4">
      <c r="B10" s="459" t="s">
        <v>771</v>
      </c>
      <c r="C10" s="576">
        <v>235.62</v>
      </c>
    </row>
    <row r="11" spans="2:4">
      <c r="B11" s="457" t="s">
        <v>772</v>
      </c>
      <c r="C11" s="576">
        <f>SUM(C7:C10)</f>
        <v>1011.078938</v>
      </c>
    </row>
    <row r="12" spans="2:4">
      <c r="B12" s="473" t="s">
        <v>776</v>
      </c>
      <c r="C12" s="474">
        <v>0.2</v>
      </c>
    </row>
    <row r="13" spans="2:4">
      <c r="B13" s="457" t="s">
        <v>777</v>
      </c>
      <c r="C13" s="576">
        <f>C11/(1-C12)</f>
        <v>1263.8486725</v>
      </c>
      <c r="D13" s="465" t="s">
        <v>335</v>
      </c>
    </row>
    <row r="14" spans="2:4">
      <c r="B14" s="460" t="s">
        <v>773</v>
      </c>
      <c r="C14" s="576">
        <f>C13/12</f>
        <v>105.32072270833334</v>
      </c>
    </row>
    <row r="15" spans="2:4">
      <c r="B15" s="460" t="s">
        <v>765</v>
      </c>
      <c r="C15" s="575">
        <v>0.25</v>
      </c>
    </row>
    <row r="16" spans="2:4">
      <c r="B16" s="460" t="s">
        <v>774</v>
      </c>
      <c r="C16" s="576">
        <f>C14*(1+C15)</f>
        <v>131.65090338541665</v>
      </c>
      <c r="D16" s="462"/>
    </row>
    <row r="17" spans="2:4" ht="15" customHeight="1">
      <c r="B17" s="890"/>
      <c r="C17" s="890"/>
      <c r="D17" s="890"/>
    </row>
    <row r="18" spans="2:4">
      <c r="B18" s="891" t="s">
        <v>339</v>
      </c>
      <c r="C18" s="891"/>
      <c r="D18" s="891"/>
    </row>
    <row r="19" spans="2:4">
      <c r="B19" s="457" t="s">
        <v>264</v>
      </c>
      <c r="C19" s="464"/>
      <c r="D19" s="464"/>
    </row>
    <row r="20" spans="2:4">
      <c r="B20" s="884" t="s">
        <v>310</v>
      </c>
      <c r="C20" s="884"/>
      <c r="D20" s="884"/>
    </row>
    <row r="21" spans="2:4">
      <c r="B21" s="884" t="s">
        <v>311</v>
      </c>
      <c r="C21" s="884"/>
      <c r="D21" s="884"/>
    </row>
    <row r="22" spans="2:4">
      <c r="B22" s="457" t="s">
        <v>748</v>
      </c>
      <c r="C22" s="457"/>
      <c r="D22" s="457"/>
    </row>
    <row r="23" spans="2:4">
      <c r="B23" s="457" t="s">
        <v>312</v>
      </c>
      <c r="C23" s="457"/>
      <c r="D23" s="457"/>
    </row>
    <row r="24" spans="2:4" ht="19" customHeight="1">
      <c r="B24" s="884" t="s">
        <v>681</v>
      </c>
      <c r="C24" s="884"/>
      <c r="D24" s="884"/>
    </row>
    <row r="25" spans="2:4" ht="15" customHeight="1">
      <c r="B25" s="891"/>
      <c r="C25" s="891"/>
      <c r="D25" s="891"/>
    </row>
    <row r="26" spans="2:4">
      <c r="B26" s="883" t="s">
        <v>266</v>
      </c>
      <c r="C26" s="883"/>
      <c r="D26" s="883"/>
    </row>
    <row r="27" spans="2:4">
      <c r="B27" s="883" t="s">
        <v>267</v>
      </c>
      <c r="C27" s="883"/>
      <c r="D27" s="883"/>
    </row>
  </sheetData>
  <mergeCells count="9">
    <mergeCell ref="B25:D25"/>
    <mergeCell ref="B26:D26"/>
    <mergeCell ref="B27:D27"/>
    <mergeCell ref="B3:D3"/>
    <mergeCell ref="B17:D17"/>
    <mergeCell ref="B18:D18"/>
    <mergeCell ref="B20:D20"/>
    <mergeCell ref="B21:D21"/>
    <mergeCell ref="B24:D2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B6547-BFA0-E849-9237-A52BF4E8450E}">
  <sheetPr codeName="Sheet18">
    <tabColor theme="7"/>
  </sheetPr>
  <dimension ref="A1"/>
  <sheetViews>
    <sheetView workbookViewId="0">
      <selection activeCell="T24" sqref="T24"/>
    </sheetView>
  </sheetViews>
  <sheetFormatPr defaultColWidth="10.83203125" defaultRowHeight="15.5"/>
  <cols>
    <col min="1" max="1" width="10.83203125" style="301" customWidth="1"/>
    <col min="2" max="16384" width="10.83203125" style="301"/>
  </cols>
  <sheetData>
    <row r="1" ht="17.149999999999999" customHeight="1"/>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91F83-9171-854A-B9BD-98908489A3E1}">
  <sheetPr>
    <tabColor rgb="FFFFC000"/>
  </sheetPr>
  <dimension ref="H3:N25"/>
  <sheetViews>
    <sheetView showGridLines="0" workbookViewId="0">
      <selection activeCell="E16" sqref="E16"/>
    </sheetView>
  </sheetViews>
  <sheetFormatPr defaultColWidth="11" defaultRowHeight="15.5"/>
  <cols>
    <col min="3" max="3" width="10.83203125" customWidth="1"/>
    <col min="6" max="6" width="5.08203125" customWidth="1"/>
    <col min="7" max="7" width="7.33203125" customWidth="1"/>
    <col min="8" max="8" width="1.5" hidden="1" customWidth="1"/>
    <col min="9" max="9" width="10.83203125" hidden="1" customWidth="1"/>
    <col min="10" max="12" width="36.33203125" customWidth="1"/>
    <col min="14" max="14" width="40.5" customWidth="1"/>
  </cols>
  <sheetData>
    <row r="3" spans="10:14" ht="38.15" customHeight="1">
      <c r="J3" s="487" t="s">
        <v>599</v>
      </c>
    </row>
    <row r="4" spans="10:14" ht="1" customHeight="1"/>
    <row r="5" spans="10:14" ht="15" customHeight="1"/>
    <row r="7" spans="10:14" ht="4" customHeight="1">
      <c r="N7" s="489"/>
    </row>
    <row r="8" spans="10:14" ht="61" customHeight="1" thickBot="1">
      <c r="J8" s="480" t="s">
        <v>596</v>
      </c>
      <c r="K8" s="481" t="s">
        <v>597</v>
      </c>
      <c r="L8" s="481" t="s">
        <v>598</v>
      </c>
    </row>
    <row r="9" spans="10:14" ht="32.15" customHeight="1" thickBot="1">
      <c r="J9" s="482">
        <v>0.2</v>
      </c>
      <c r="K9" s="483">
        <f>K17-(K17*0.2)</f>
        <v>44</v>
      </c>
      <c r="L9" s="483">
        <f t="shared" ref="L9:L16" si="0">K9-$K$17</f>
        <v>-11</v>
      </c>
    </row>
    <row r="10" spans="10:14" ht="32.15" customHeight="1" thickBot="1">
      <c r="J10" s="486">
        <v>0.17499999999999999</v>
      </c>
      <c r="K10" s="483">
        <f>K17-(K17*0.175)</f>
        <v>45.375</v>
      </c>
      <c r="L10" s="483">
        <f t="shared" si="0"/>
        <v>-9.625</v>
      </c>
    </row>
    <row r="11" spans="10:14" ht="32.15" customHeight="1" thickBot="1">
      <c r="J11" s="482">
        <v>0.15</v>
      </c>
      <c r="K11" s="483">
        <f>K17-(K17*0.15)</f>
        <v>46.75</v>
      </c>
      <c r="L11" s="483">
        <f t="shared" si="0"/>
        <v>-8.25</v>
      </c>
    </row>
    <row r="12" spans="10:14" ht="32.15" customHeight="1" thickBot="1">
      <c r="J12" s="486">
        <v>0.125</v>
      </c>
      <c r="K12" s="483">
        <f>K17-(K17*0.125)</f>
        <v>48.125</v>
      </c>
      <c r="L12" s="483">
        <f t="shared" si="0"/>
        <v>-6.875</v>
      </c>
    </row>
    <row r="13" spans="10:14" ht="32.15" customHeight="1" thickBot="1">
      <c r="J13" s="482">
        <v>0.1</v>
      </c>
      <c r="K13" s="483">
        <f>K17-(K17*0.1)</f>
        <v>49.5</v>
      </c>
      <c r="L13" s="483">
        <f t="shared" si="0"/>
        <v>-5.5</v>
      </c>
    </row>
    <row r="14" spans="10:14" ht="32.15" customHeight="1" thickBot="1">
      <c r="J14" s="486">
        <v>7.4999999999999997E-2</v>
      </c>
      <c r="K14" s="483">
        <f>K17-(K17*0.075)</f>
        <v>50.875</v>
      </c>
      <c r="L14" s="483">
        <f t="shared" si="0"/>
        <v>-4.125</v>
      </c>
    </row>
    <row r="15" spans="10:14" ht="32.15" customHeight="1" thickBot="1">
      <c r="J15" s="482">
        <v>0.05</v>
      </c>
      <c r="K15" s="483">
        <f>K17-(K17*0.05)</f>
        <v>52.25</v>
      </c>
      <c r="L15" s="483">
        <f t="shared" si="0"/>
        <v>-2.75</v>
      </c>
    </row>
    <row r="16" spans="10:14" ht="32.15" customHeight="1" thickBot="1">
      <c r="J16" s="486">
        <v>2.5000000000000001E-2</v>
      </c>
      <c r="K16" s="483">
        <f>K17-(K17*0.025)</f>
        <v>53.625</v>
      </c>
      <c r="L16" s="483">
        <f t="shared" si="0"/>
        <v>-1.375</v>
      </c>
    </row>
    <row r="17" spans="10:12" ht="32.15" customHeight="1" thickBot="1">
      <c r="J17" s="484">
        <v>0</v>
      </c>
      <c r="K17" s="488">
        <v>55</v>
      </c>
      <c r="L17" s="485" t="e">
        <f>#REF!</f>
        <v>#REF!</v>
      </c>
    </row>
    <row r="18" spans="10:12" ht="32.15" customHeight="1" thickBot="1">
      <c r="J18" s="486">
        <v>-2.5000000000000001E-2</v>
      </c>
      <c r="K18" s="483">
        <f>K17+(K17*0.025)</f>
        <v>56.375</v>
      </c>
      <c r="L18" s="483">
        <f t="shared" ref="L18:L25" si="1">K18-$K$17</f>
        <v>1.375</v>
      </c>
    </row>
    <row r="19" spans="10:12" ht="32.15" customHeight="1" thickBot="1">
      <c r="J19" s="482">
        <v>-0.05</v>
      </c>
      <c r="K19" s="483">
        <f>K17+(K17*0.05)</f>
        <v>57.75</v>
      </c>
      <c r="L19" s="483">
        <f t="shared" si="1"/>
        <v>2.75</v>
      </c>
    </row>
    <row r="20" spans="10:12" ht="32.15" customHeight="1" thickBot="1">
      <c r="J20" s="486">
        <f>-7.5%</f>
        <v>-7.4999999999999997E-2</v>
      </c>
      <c r="K20" s="483">
        <f>K17+(K17*0.075)</f>
        <v>59.125</v>
      </c>
      <c r="L20" s="483">
        <f t="shared" si="1"/>
        <v>4.125</v>
      </c>
    </row>
    <row r="21" spans="10:12" ht="32.15" customHeight="1" thickBot="1">
      <c r="J21" s="482">
        <v>-0.1</v>
      </c>
      <c r="K21" s="483">
        <f>K17+(K17*0.1)</f>
        <v>60.5</v>
      </c>
      <c r="L21" s="483">
        <f t="shared" si="1"/>
        <v>5.5</v>
      </c>
    </row>
    <row r="22" spans="10:12" ht="32.15" customHeight="1" thickBot="1">
      <c r="J22" s="486">
        <v>-0.125</v>
      </c>
      <c r="K22" s="483">
        <f>K17+(K17*0.125)</f>
        <v>61.875</v>
      </c>
      <c r="L22" s="483">
        <f t="shared" si="1"/>
        <v>6.875</v>
      </c>
    </row>
    <row r="23" spans="10:12" ht="32.15" customHeight="1" thickBot="1">
      <c r="J23" s="482">
        <v>-0.15</v>
      </c>
      <c r="K23" s="483">
        <f>K17+(K17*0.15)</f>
        <v>63.25</v>
      </c>
      <c r="L23" s="483">
        <f t="shared" si="1"/>
        <v>8.25</v>
      </c>
    </row>
    <row r="24" spans="10:12" ht="32.15" customHeight="1" thickBot="1">
      <c r="J24" s="486">
        <f>-17.5%</f>
        <v>-0.17499999999999999</v>
      </c>
      <c r="K24" s="483">
        <f>K17+(K17*0.175)</f>
        <v>64.625</v>
      </c>
      <c r="L24" s="483">
        <f t="shared" si="1"/>
        <v>9.625</v>
      </c>
    </row>
    <row r="25" spans="10:12" ht="32.15" customHeight="1" thickBot="1">
      <c r="J25" s="486">
        <f>-20%</f>
        <v>-0.2</v>
      </c>
      <c r="K25" s="483">
        <f>K17+(K17*0.2)</f>
        <v>66</v>
      </c>
      <c r="L25" s="483">
        <f t="shared" si="1"/>
        <v>11</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83016-63D2-CF45-BA48-C85F14C1C9F5}">
  <sheetPr codeName="Sheet22"/>
  <dimension ref="C3:E67"/>
  <sheetViews>
    <sheetView topLeftCell="A31" workbookViewId="0">
      <selection activeCell="D59" sqref="D59"/>
    </sheetView>
  </sheetViews>
  <sheetFormatPr defaultColWidth="11" defaultRowHeight="15.5"/>
  <cols>
    <col min="3" max="3" width="22.9140625" bestFit="1" customWidth="1"/>
    <col min="4" max="4" width="11.75" bestFit="1" customWidth="1"/>
    <col min="5" max="5" width="13.1640625" bestFit="1" customWidth="1"/>
  </cols>
  <sheetData>
    <row r="3" spans="3:5" ht="16" thickBot="1"/>
    <row r="4" spans="3:5" ht="16" thickBot="1">
      <c r="C4" s="498" t="s">
        <v>135</v>
      </c>
      <c r="D4" s="498" t="s">
        <v>252</v>
      </c>
      <c r="E4" s="498" t="s">
        <v>253</v>
      </c>
    </row>
    <row r="5" spans="3:5" ht="16" thickBot="1">
      <c r="C5" s="499" t="s">
        <v>84</v>
      </c>
      <c r="D5" s="500">
        <v>0.63464399999999999</v>
      </c>
      <c r="E5" s="500">
        <v>1.575685</v>
      </c>
    </row>
    <row r="6" spans="3:5" ht="16" thickBot="1">
      <c r="C6" s="499" t="s">
        <v>122</v>
      </c>
      <c r="D6" s="500">
        <v>0.57260500000000003</v>
      </c>
      <c r="E6" s="500">
        <v>1.746405</v>
      </c>
    </row>
    <row r="7" spans="3:5" ht="16" thickBot="1">
      <c r="C7" s="499" t="s">
        <v>85</v>
      </c>
      <c r="D7" s="500">
        <v>0.481236</v>
      </c>
      <c r="E7" s="500">
        <v>2.077985</v>
      </c>
    </row>
    <row r="8" spans="3:5" ht="16" thickBot="1">
      <c r="C8" s="499" t="s">
        <v>118</v>
      </c>
      <c r="D8" s="500">
        <v>54.141815999999999</v>
      </c>
      <c r="E8" s="500">
        <v>1.847E-2</v>
      </c>
    </row>
    <row r="9" spans="3:5" ht="16" thickBot="1">
      <c r="C9" s="499" t="s">
        <v>128</v>
      </c>
      <c r="D9" s="500">
        <v>0.89680499999999996</v>
      </c>
      <c r="E9" s="500">
        <v>1.11507</v>
      </c>
    </row>
    <row r="10" spans="3:5" ht="16" thickBot="1">
      <c r="C10" s="499" t="s">
        <v>95</v>
      </c>
      <c r="D10" s="500">
        <v>0.84768900000000003</v>
      </c>
      <c r="E10" s="500">
        <v>1.1796770000000001</v>
      </c>
    </row>
    <row r="11" spans="3:5" ht="16" thickBot="1">
      <c r="C11" s="499" t="s">
        <v>91</v>
      </c>
      <c r="D11" s="500">
        <v>0.54708599999999996</v>
      </c>
      <c r="E11" s="500">
        <v>1.8278669999999999</v>
      </c>
    </row>
    <row r="12" spans="3:5" ht="16" thickBot="1">
      <c r="C12" s="499" t="s">
        <v>109</v>
      </c>
      <c r="D12" s="500">
        <v>2.8194080000000001</v>
      </c>
      <c r="E12" s="500">
        <v>0.354684</v>
      </c>
    </row>
    <row r="13" spans="3:5" ht="16" thickBot="1">
      <c r="C13" s="499" t="s">
        <v>114</v>
      </c>
      <c r="D13" s="500">
        <v>93.001467000000005</v>
      </c>
      <c r="E13" s="500">
        <v>1.0753E-2</v>
      </c>
    </row>
    <row r="14" spans="3:5" ht="16" thickBot="1">
      <c r="C14" s="501" t="s">
        <v>126</v>
      </c>
      <c r="D14" s="502">
        <v>4.6227070000000001</v>
      </c>
      <c r="E14" s="502">
        <v>0.21632299999999999</v>
      </c>
    </row>
    <row r="15" spans="3:5" ht="16" thickBot="1"/>
    <row r="16" spans="3:5" ht="16" thickBot="1">
      <c r="C16" s="503" t="s">
        <v>135</v>
      </c>
      <c r="D16" s="503" t="s">
        <v>252</v>
      </c>
      <c r="E16" s="503" t="s">
        <v>253</v>
      </c>
    </row>
    <row r="17" spans="3:5" ht="16" thickBot="1">
      <c r="C17" s="504" t="s">
        <v>134</v>
      </c>
      <c r="D17" s="505">
        <v>680.84485700000005</v>
      </c>
      <c r="E17" s="505">
        <v>1.469E-3</v>
      </c>
    </row>
    <row r="18" spans="3:5" ht="16" thickBot="1">
      <c r="C18" s="504" t="s">
        <v>133</v>
      </c>
      <c r="D18" s="505">
        <v>0.238626</v>
      </c>
      <c r="E18" s="505">
        <v>4.1906530000000002</v>
      </c>
    </row>
    <row r="19" spans="3:5" ht="16" thickBot="1">
      <c r="C19" s="504" t="s">
        <v>132</v>
      </c>
      <c r="D19" s="505">
        <v>8.7571700000000003</v>
      </c>
      <c r="E19" s="505">
        <v>0.114192</v>
      </c>
    </row>
    <row r="20" spans="3:5" ht="16" thickBot="1">
      <c r="C20" s="504" t="s">
        <v>131</v>
      </c>
      <c r="D20" s="505">
        <v>3.616088</v>
      </c>
      <c r="E20" s="505">
        <v>0.27654200000000001</v>
      </c>
    </row>
    <row r="21" spans="3:5" ht="16" thickBot="1">
      <c r="C21" s="504" t="s">
        <v>130</v>
      </c>
      <c r="D21" s="505">
        <v>0.84768900000000003</v>
      </c>
      <c r="E21" s="505">
        <v>1.1796770000000001</v>
      </c>
    </row>
    <row r="22" spans="3:5" ht="16" thickBot="1">
      <c r="C22" s="504" t="s">
        <v>129</v>
      </c>
      <c r="D22" s="505">
        <v>1.119918</v>
      </c>
      <c r="E22" s="505">
        <v>0.89292300000000002</v>
      </c>
    </row>
    <row r="23" spans="3:5" ht="16" thickBot="1">
      <c r="C23" s="504" t="s">
        <v>128</v>
      </c>
      <c r="D23" s="505">
        <v>0.89680499999999996</v>
      </c>
      <c r="E23" s="505">
        <v>1.11507</v>
      </c>
    </row>
    <row r="24" spans="3:5" ht="16" thickBot="1">
      <c r="C24" s="504" t="s">
        <v>127</v>
      </c>
      <c r="D24" s="505">
        <v>605.97163899999998</v>
      </c>
      <c r="E24" s="505">
        <v>1.65E-3</v>
      </c>
    </row>
    <row r="25" spans="3:5" ht="16" thickBot="1">
      <c r="C25" s="504" t="s">
        <v>126</v>
      </c>
      <c r="D25" s="505">
        <v>4.6227070000000001</v>
      </c>
      <c r="E25" s="505">
        <v>0.21632299999999999</v>
      </c>
    </row>
    <row r="26" spans="3:5" ht="16" thickBot="1">
      <c r="C26" s="504" t="s">
        <v>125</v>
      </c>
      <c r="D26" s="505">
        <v>2634.7372220000002</v>
      </c>
      <c r="E26" s="505">
        <v>3.8000000000000002E-4</v>
      </c>
    </row>
    <row r="27" spans="3:5" ht="16" thickBot="1">
      <c r="C27" s="504" t="s">
        <v>124</v>
      </c>
      <c r="D27" s="505">
        <v>14.31307</v>
      </c>
      <c r="E27" s="505">
        <v>6.9865999999999998E-2</v>
      </c>
    </row>
    <row r="28" spans="3:5" ht="16" thickBot="1">
      <c r="C28" s="504" t="s">
        <v>123</v>
      </c>
      <c r="D28" s="505">
        <v>4.2723240000000002</v>
      </c>
      <c r="E28" s="505">
        <v>0.234065</v>
      </c>
    </row>
    <row r="29" spans="3:5" ht="16" thickBot="1">
      <c r="C29" s="504" t="s">
        <v>122</v>
      </c>
      <c r="D29" s="505">
        <v>0.57260500000000003</v>
      </c>
      <c r="E29" s="505">
        <v>1.746405</v>
      </c>
    </row>
    <row r="30" spans="3:5" ht="16" thickBot="1">
      <c r="C30" s="504" t="s">
        <v>121</v>
      </c>
      <c r="D30" s="505">
        <v>4.9360819999999999</v>
      </c>
      <c r="E30" s="505">
        <v>0.20258999999999999</v>
      </c>
    </row>
    <row r="31" spans="3:5" ht="16" thickBot="1">
      <c r="C31" s="504" t="s">
        <v>120</v>
      </c>
      <c r="D31" s="505">
        <v>229.62143399999999</v>
      </c>
      <c r="E31" s="505">
        <v>4.3550000000000004E-3</v>
      </c>
    </row>
    <row r="32" spans="3:5" ht="16" thickBot="1">
      <c r="C32" s="504" t="s">
        <v>119</v>
      </c>
      <c r="D32" s="505">
        <v>82.851225999999997</v>
      </c>
      <c r="E32" s="505">
        <v>1.2070000000000001E-2</v>
      </c>
    </row>
    <row r="33" spans="3:5" ht="16" thickBot="1">
      <c r="C33" s="504" t="s">
        <v>118</v>
      </c>
      <c r="D33" s="505">
        <v>54.141815999999999</v>
      </c>
      <c r="E33" s="505">
        <v>1.847E-2</v>
      </c>
    </row>
    <row r="34" spans="3:5" ht="16" thickBot="1">
      <c r="C34" s="504" t="s">
        <v>117</v>
      </c>
      <c r="D34" s="505">
        <v>10612.765479</v>
      </c>
      <c r="E34" s="505">
        <v>9.3999999999999994E-5</v>
      </c>
    </row>
    <row r="35" spans="3:5" ht="16" thickBot="1">
      <c r="C35" s="504" t="s">
        <v>116</v>
      </c>
      <c r="D35" s="505">
        <v>26716.556322</v>
      </c>
      <c r="E35" s="505">
        <v>3.6999999999999998E-5</v>
      </c>
    </row>
    <row r="36" spans="3:5" ht="16" thickBot="1">
      <c r="C36" s="504" t="s">
        <v>115</v>
      </c>
      <c r="D36" s="505">
        <v>2.3491930000000001</v>
      </c>
      <c r="E36" s="505">
        <v>0.425678</v>
      </c>
    </row>
    <row r="37" spans="3:5" ht="16" thickBot="1">
      <c r="C37" s="504" t="s">
        <v>114</v>
      </c>
      <c r="D37" s="505">
        <v>93.001467000000005</v>
      </c>
      <c r="E37" s="505">
        <v>1.0753E-2</v>
      </c>
    </row>
    <row r="38" spans="3:5" ht="16" thickBot="1">
      <c r="C38" s="504" t="s">
        <v>113</v>
      </c>
      <c r="D38" s="505">
        <v>318.29626100000002</v>
      </c>
      <c r="E38" s="505">
        <v>3.1419999999999998E-3</v>
      </c>
    </row>
    <row r="39" spans="3:5" ht="16" thickBot="1">
      <c r="C39" s="504" t="s">
        <v>112</v>
      </c>
      <c r="D39" s="505">
        <v>924.023101</v>
      </c>
      <c r="E39" s="505">
        <v>1.0820000000000001E-3</v>
      </c>
    </row>
    <row r="40" spans="3:5" ht="16" thickBot="1">
      <c r="C40" s="504" t="s">
        <v>111</v>
      </c>
      <c r="D40" s="505">
        <v>0.19525400000000001</v>
      </c>
      <c r="E40" s="505">
        <v>5.1215320000000002</v>
      </c>
    </row>
    <row r="41" spans="3:5" ht="16" thickBot="1">
      <c r="C41" s="504" t="s">
        <v>110</v>
      </c>
      <c r="D41" s="505">
        <v>3.063825</v>
      </c>
      <c r="E41" s="505">
        <v>0.32638899999999998</v>
      </c>
    </row>
    <row r="42" spans="3:5" ht="16" thickBot="1">
      <c r="C42" s="504" t="s">
        <v>109</v>
      </c>
      <c r="D42" s="505">
        <v>2.8194080000000001</v>
      </c>
      <c r="E42" s="505">
        <v>0.354684</v>
      </c>
    </row>
    <row r="43" spans="3:5" ht="16" thickBot="1">
      <c r="C43" s="504" t="s">
        <v>108</v>
      </c>
      <c r="D43" s="505">
        <v>28.791288999999999</v>
      </c>
      <c r="E43" s="505">
        <v>3.4733E-2</v>
      </c>
    </row>
    <row r="44" spans="3:5" ht="16" thickBot="1">
      <c r="C44" s="504" t="s">
        <v>107</v>
      </c>
      <c r="D44" s="505">
        <v>12.723725</v>
      </c>
      <c r="E44" s="505">
        <v>7.8592999999999996E-2</v>
      </c>
    </row>
    <row r="45" spans="3:5" ht="16" thickBot="1">
      <c r="C45" s="504" t="s">
        <v>106</v>
      </c>
      <c r="D45" s="505">
        <v>86.667512000000002</v>
      </c>
      <c r="E45" s="505">
        <v>1.1538E-2</v>
      </c>
    </row>
    <row r="46" spans="3:5" ht="16" thickBot="1">
      <c r="C46" s="504" t="s">
        <v>105</v>
      </c>
      <c r="D46" s="505">
        <v>1.0916619999999999</v>
      </c>
      <c r="E46" s="505">
        <v>0.91603400000000001</v>
      </c>
    </row>
    <row r="47" spans="3:5" ht="16" thickBot="1">
      <c r="C47" s="504" t="s">
        <v>104</v>
      </c>
      <c r="D47" s="505">
        <v>6.5107569999999999</v>
      </c>
      <c r="E47" s="505">
        <v>0.15359200000000001</v>
      </c>
    </row>
    <row r="48" spans="3:5" ht="16" thickBot="1">
      <c r="C48" s="504" t="s">
        <v>103</v>
      </c>
      <c r="D48" s="505">
        <v>0.24432000000000001</v>
      </c>
      <c r="E48" s="505">
        <v>4.0929989999999998</v>
      </c>
    </row>
    <row r="49" spans="3:5" ht="16" thickBot="1">
      <c r="C49" s="504" t="s">
        <v>102</v>
      </c>
      <c r="D49" s="505">
        <v>177.89965100000001</v>
      </c>
      <c r="E49" s="505">
        <v>5.6210000000000001E-3</v>
      </c>
    </row>
    <row r="50" spans="3:5" ht="16" thickBot="1">
      <c r="C50" s="504" t="s">
        <v>101</v>
      </c>
      <c r="D50" s="505">
        <v>36.162123999999999</v>
      </c>
      <c r="E50" s="505">
        <v>2.7653E-2</v>
      </c>
    </row>
    <row r="51" spans="3:5" ht="16" thickBot="1">
      <c r="C51" s="504" t="s">
        <v>100</v>
      </c>
      <c r="D51" s="505">
        <v>2.39893</v>
      </c>
      <c r="E51" s="505">
        <v>0.416852</v>
      </c>
    </row>
    <row r="52" spans="3:5" ht="16" thickBot="1">
      <c r="C52" s="504" t="s">
        <v>99</v>
      </c>
      <c r="D52" s="505">
        <v>2.3101060000000002</v>
      </c>
      <c r="E52" s="505">
        <v>0.43288100000000002</v>
      </c>
    </row>
    <row r="53" spans="3:5" ht="16" thickBot="1">
      <c r="C53" s="504" t="s">
        <v>98</v>
      </c>
      <c r="D53" s="505">
        <v>2.8502749999999999</v>
      </c>
      <c r="E53" s="505">
        <v>0.35084300000000002</v>
      </c>
    </row>
    <row r="54" spans="3:5" ht="16" thickBot="1">
      <c r="C54" s="504" t="s">
        <v>97</v>
      </c>
      <c r="D54" s="505">
        <v>53.363534000000001</v>
      </c>
      <c r="E54" s="505">
        <v>1.8738999999999999E-2</v>
      </c>
    </row>
    <row r="55" spans="3:5" ht="16" thickBot="1">
      <c r="C55" s="504" t="s">
        <v>96</v>
      </c>
      <c r="D55" s="505">
        <v>2.3799169999999998</v>
      </c>
      <c r="E55" s="505">
        <v>0.42018299999999997</v>
      </c>
    </row>
    <row r="56" spans="3:5" ht="16" thickBot="1">
      <c r="C56" s="504" t="s">
        <v>95</v>
      </c>
      <c r="D56" s="505">
        <v>0.84768900000000003</v>
      </c>
      <c r="E56" s="505">
        <v>1.1796770000000001</v>
      </c>
    </row>
    <row r="57" spans="3:5" ht="16" thickBot="1">
      <c r="C57" s="504" t="s">
        <v>94</v>
      </c>
      <c r="D57" s="505">
        <v>11.938371999999999</v>
      </c>
      <c r="E57" s="505">
        <v>8.3764000000000005E-2</v>
      </c>
    </row>
    <row r="58" spans="3:5" ht="16" thickBot="1">
      <c r="C58" s="504" t="s">
        <v>93</v>
      </c>
      <c r="D58" s="505">
        <v>187.483948</v>
      </c>
      <c r="E58" s="505">
        <v>5.3340000000000002E-3</v>
      </c>
    </row>
    <row r="59" spans="3:5" ht="16" thickBot="1">
      <c r="C59" s="504" t="s">
        <v>92</v>
      </c>
      <c r="D59" s="505">
        <v>6.1302729999999999</v>
      </c>
      <c r="E59" s="505">
        <v>0.16312499999999999</v>
      </c>
    </row>
    <row r="60" spans="3:5" ht="16" thickBot="1">
      <c r="C60" s="504" t="s">
        <v>91</v>
      </c>
      <c r="D60" s="505">
        <v>0.54708599999999996</v>
      </c>
      <c r="E60" s="505">
        <v>1.8278669999999999</v>
      </c>
    </row>
    <row r="61" spans="3:5" ht="16" thickBot="1">
      <c r="C61" s="504" t="s">
        <v>90</v>
      </c>
      <c r="D61" s="505">
        <v>21.040846999999999</v>
      </c>
      <c r="E61" s="505">
        <v>4.7527E-2</v>
      </c>
    </row>
    <row r="62" spans="3:5" ht="16" thickBot="1">
      <c r="C62" s="504" t="s">
        <v>89</v>
      </c>
      <c r="D62" s="505">
        <v>21.739826000000001</v>
      </c>
      <c r="E62" s="505">
        <v>4.5998999999999998E-2</v>
      </c>
    </row>
    <row r="63" spans="3:5" ht="16" thickBot="1">
      <c r="C63" s="504" t="s">
        <v>88</v>
      </c>
      <c r="D63" s="505">
        <v>4.2880419999999999</v>
      </c>
      <c r="E63" s="505">
        <v>0.233207</v>
      </c>
    </row>
    <row r="64" spans="3:5" ht="16" thickBot="1">
      <c r="C64" s="504" t="s">
        <v>87</v>
      </c>
      <c r="D64" s="505">
        <v>24.081588</v>
      </c>
      <c r="E64" s="505">
        <v>4.1526E-2</v>
      </c>
    </row>
    <row r="65" spans="3:5" ht="16" thickBot="1">
      <c r="C65" s="504" t="s">
        <v>86</v>
      </c>
      <c r="D65" s="505">
        <v>2.3307319999999998</v>
      </c>
      <c r="E65" s="505">
        <v>0.42904999999999999</v>
      </c>
    </row>
    <row r="66" spans="3:5" ht="16" thickBot="1">
      <c r="C66" s="504" t="s">
        <v>85</v>
      </c>
      <c r="D66" s="505">
        <v>0.481236</v>
      </c>
      <c r="E66" s="505">
        <v>2.077985</v>
      </c>
    </row>
    <row r="67" spans="3:5" ht="16" thickBot="1">
      <c r="C67" s="506" t="s">
        <v>84</v>
      </c>
      <c r="D67" s="505">
        <v>0.63464399999999999</v>
      </c>
      <c r="E67" s="505">
        <v>1.575685</v>
      </c>
    </row>
  </sheetData>
  <hyperlinks>
    <hyperlink ref="D5" r:id="rId1" display="https://www.x-rates.com/graph/?from=AUD&amp;to=USD" xr:uid="{1239CEBB-A4A0-4A70-BA40-C0EB7A492FA9}"/>
    <hyperlink ref="E5" r:id="rId2" display="https://www.x-rates.com/graph/?from=USD&amp;to=AUD" xr:uid="{2293F6C4-528D-4E4F-9A1F-E93AA8729C15}"/>
    <hyperlink ref="D6" r:id="rId3" display="https://www.x-rates.com/graph/?from=AUD&amp;to=EUR" xr:uid="{12B87305-639A-4D88-923F-99384999CEF0}"/>
    <hyperlink ref="E6" r:id="rId4" display="https://www.x-rates.com/graph/?from=EUR&amp;to=AUD" xr:uid="{2BF6965D-B81B-4C79-BA3D-26720215A5AD}"/>
    <hyperlink ref="D7" r:id="rId5" display="https://www.x-rates.com/graph/?from=AUD&amp;to=GBP" xr:uid="{BBAF7492-509A-4FA6-99F8-394BFEDD418D}"/>
    <hyperlink ref="E7" r:id="rId6" display="https://www.x-rates.com/graph/?from=GBP&amp;to=AUD" xr:uid="{4E602003-C754-4660-98C5-52910D5DAD78}"/>
    <hyperlink ref="D8" r:id="rId7" display="https://www.x-rates.com/graph/?from=AUD&amp;to=INR" xr:uid="{E2C64227-C47A-4AAC-88C6-840934A0A43C}"/>
    <hyperlink ref="E8" r:id="rId8" display="https://www.x-rates.com/graph/?from=INR&amp;to=AUD" xr:uid="{F8A5C38B-055E-4250-A5A7-554296DC42D0}"/>
    <hyperlink ref="D9" r:id="rId9" display="https://www.x-rates.com/graph/?from=AUD&amp;to=CAD" xr:uid="{6255EA6F-86B7-4FB2-9BA0-76FF7DEF05CB}"/>
    <hyperlink ref="E9" r:id="rId10" display="https://www.x-rates.com/graph/?from=CAD&amp;to=AUD" xr:uid="{41F87D4F-5C42-4C44-83D2-DBA759F2E967}"/>
    <hyperlink ref="D10" r:id="rId11" display="https://www.x-rates.com/graph/?from=AUD&amp;to=SGD" xr:uid="{1E768FA5-0EEF-454C-8E3E-8CD0CE8ACF48}"/>
    <hyperlink ref="E10" r:id="rId12" display="https://www.x-rates.com/graph/?from=SGD&amp;to=AUD" xr:uid="{D6406F29-D7BF-4457-9065-C76D73986D0D}"/>
    <hyperlink ref="D11" r:id="rId13" display="https://www.x-rates.com/graph/?from=AUD&amp;to=CHF" xr:uid="{516415E5-0615-4842-A529-DCA5265D1DD7}"/>
    <hyperlink ref="E11" r:id="rId14" display="https://www.x-rates.com/graph/?from=CHF&amp;to=AUD" xr:uid="{831CA708-F302-4F01-A926-212C221BAFA1}"/>
    <hyperlink ref="D12" r:id="rId15" display="https://www.x-rates.com/graph/?from=AUD&amp;to=MYR" xr:uid="{CA4C3E9F-E512-4DDC-A490-42A00EB98F4C}"/>
    <hyperlink ref="E12" r:id="rId16" display="https://www.x-rates.com/graph/?from=MYR&amp;to=AUD" xr:uid="{C9E3D226-E506-489A-B46A-68BB284EBF0F}"/>
    <hyperlink ref="D13" r:id="rId17" display="https://www.x-rates.com/graph/?from=AUD&amp;to=JPY" xr:uid="{7844EBE2-82E2-4D54-B29D-9BB60F5EB937}"/>
    <hyperlink ref="E13" r:id="rId18" display="https://www.x-rates.com/graph/?from=JPY&amp;to=AUD" xr:uid="{7FF77F58-278F-47D6-8920-99A5CE3F759D}"/>
    <hyperlink ref="D14" r:id="rId19" display="https://www.x-rates.com/graph/?from=AUD&amp;to=CNY" xr:uid="{99775D24-D0CC-4D72-8769-514027297FCC}"/>
    <hyperlink ref="E14" r:id="rId20" display="https://www.x-rates.com/graph/?from=CNY&amp;to=AUD" xr:uid="{AD5ADA92-6351-46C8-96EA-DF976687D810}"/>
    <hyperlink ref="D17" r:id="rId21" display="https://www.x-rates.com/graph/?from=AUD&amp;to=ARS" xr:uid="{65B5B729-5CC6-489F-AD8C-78629B80BCCE}"/>
    <hyperlink ref="E17" r:id="rId22" display="https://www.x-rates.com/graph/?from=ARS&amp;to=AUD" xr:uid="{085E6EE2-33C9-44FE-99E7-465023DA2C01}"/>
    <hyperlink ref="D18" r:id="rId23" display="https://www.x-rates.com/graph/?from=AUD&amp;to=BHD" xr:uid="{79DCA41B-6CE1-4835-A831-1B79F44C8E4B}"/>
    <hyperlink ref="E18" r:id="rId24" display="https://www.x-rates.com/graph/?from=BHD&amp;to=AUD" xr:uid="{9AB5C1E3-D5C1-4911-95D3-B0E88335B197}"/>
    <hyperlink ref="D19" r:id="rId25" display="https://www.x-rates.com/graph/?from=AUD&amp;to=BWP" xr:uid="{99311568-4ED1-44D6-B56E-AA119C24C7F5}"/>
    <hyperlink ref="E19" r:id="rId26" display="https://www.x-rates.com/graph/?from=BWP&amp;to=AUD" xr:uid="{0D1A380F-C07D-41A1-BB36-C540689D884B}"/>
    <hyperlink ref="D20" r:id="rId27" display="https://www.x-rates.com/graph/?from=AUD&amp;to=BRL" xr:uid="{23EC3C55-2DC6-454A-AF27-149A92CE5966}"/>
    <hyperlink ref="E20" r:id="rId28" display="https://www.x-rates.com/graph/?from=BRL&amp;to=AUD" xr:uid="{33EB9D2C-7549-48FB-B2C0-1103BE6CD699}"/>
    <hyperlink ref="D21" r:id="rId29" display="https://www.x-rates.com/graph/?from=AUD&amp;to=BND" xr:uid="{DDFC78BC-38AA-47F8-BCD6-DBFD7F3889C6}"/>
    <hyperlink ref="E21" r:id="rId30" display="https://www.x-rates.com/graph/?from=BND&amp;to=AUD" xr:uid="{37842A19-7DD6-4701-85D2-B54091C8D349}"/>
    <hyperlink ref="D22" r:id="rId31" display="https://www.x-rates.com/graph/?from=AUD&amp;to=BGN" xr:uid="{10A427C3-E07F-491D-85CC-2074D973BB75}"/>
    <hyperlink ref="E22" r:id="rId32" display="https://www.x-rates.com/graph/?from=BGN&amp;to=AUD" xr:uid="{60DF4578-A5EA-4F81-ABB6-600F256DF827}"/>
    <hyperlink ref="D23" r:id="rId33" display="https://www.x-rates.com/graph/?from=AUD&amp;to=CAD" xr:uid="{C9884FDF-5446-46A4-8419-2BA70EFB4DC7}"/>
    <hyperlink ref="E23" r:id="rId34" display="https://www.x-rates.com/graph/?from=CAD&amp;to=AUD" xr:uid="{987A4399-FF20-48C6-84AC-F8FE1710BB9D}"/>
    <hyperlink ref="D24" r:id="rId35" display="https://www.x-rates.com/graph/?from=AUD&amp;to=CLP" xr:uid="{5C20DDBD-2B9C-41EF-BA42-5733DD82F67A}"/>
    <hyperlink ref="E24" r:id="rId36" display="https://www.x-rates.com/graph/?from=CLP&amp;to=AUD" xr:uid="{B80B3216-AF38-4323-95F1-D6D02E8E3EA2}"/>
    <hyperlink ref="D25" r:id="rId37" display="https://www.x-rates.com/graph/?from=AUD&amp;to=CNY" xr:uid="{6726BBC5-B6FD-422E-87A9-7AFDD1E6EB08}"/>
    <hyperlink ref="E25" r:id="rId38" display="https://www.x-rates.com/graph/?from=CNY&amp;to=AUD" xr:uid="{68FFF5BC-D778-4BC1-A649-276C270ED1F6}"/>
    <hyperlink ref="D26" r:id="rId39" display="https://www.x-rates.com/graph/?from=AUD&amp;to=COP" xr:uid="{DDDEFD0D-B552-46C0-905C-25A1C3F0ADE7}"/>
    <hyperlink ref="E26" r:id="rId40" display="https://www.x-rates.com/graph/?from=COP&amp;to=AUD" xr:uid="{21696AC1-BB75-4EC6-9ADF-B54385653B06}"/>
    <hyperlink ref="D27" r:id="rId41" display="https://www.x-rates.com/graph/?from=AUD&amp;to=CZK" xr:uid="{BC92FEBD-0BFC-4F9A-A203-DA459A322922}"/>
    <hyperlink ref="E27" r:id="rId42" display="https://www.x-rates.com/graph/?from=CZK&amp;to=AUD" xr:uid="{B0617881-A629-4FCA-9A9C-73BE2502EE6C}"/>
    <hyperlink ref="D28" r:id="rId43" display="https://www.x-rates.com/graph/?from=AUD&amp;to=DKK" xr:uid="{EAED7322-D48C-4872-AF9C-8940631A97E4}"/>
    <hyperlink ref="E28" r:id="rId44" display="https://www.x-rates.com/graph/?from=DKK&amp;to=AUD" xr:uid="{D801518D-41F2-4950-98A1-97ED6CA61491}"/>
    <hyperlink ref="D29" r:id="rId45" display="https://www.x-rates.com/graph/?from=AUD&amp;to=EUR" xr:uid="{3C7BA077-B1B5-44EB-8424-7CB91970CA75}"/>
    <hyperlink ref="E29" r:id="rId46" display="https://www.x-rates.com/graph/?from=EUR&amp;to=AUD" xr:uid="{0CE388DD-DA87-4BA0-8B0E-F14220C05FEE}"/>
    <hyperlink ref="D30" r:id="rId47" display="https://www.x-rates.com/graph/?from=AUD&amp;to=HKD" xr:uid="{A9A22C42-963A-4A29-89F3-B51EE25261C3}"/>
    <hyperlink ref="E30" r:id="rId48" display="https://www.x-rates.com/graph/?from=HKD&amp;to=AUD" xr:uid="{02F904A0-BE81-42F3-8141-91A4DC67B1BC}"/>
    <hyperlink ref="D31" r:id="rId49" display="https://www.x-rates.com/graph/?from=AUD&amp;to=HUF" xr:uid="{53816F44-EC2F-40D1-91AD-1872C1D7EE19}"/>
    <hyperlink ref="E31" r:id="rId50" display="https://www.x-rates.com/graph/?from=HUF&amp;to=AUD" xr:uid="{8DACCED8-8D20-4751-BEB5-EC8C6D357B97}"/>
    <hyperlink ref="D32" r:id="rId51" display="https://www.x-rates.com/graph/?from=AUD&amp;to=ISK" xr:uid="{1536F665-4AB0-4671-A4CA-18779DD6B41E}"/>
    <hyperlink ref="E32" r:id="rId52" display="https://www.x-rates.com/graph/?from=ISK&amp;to=AUD" xr:uid="{3EF269E2-CC9A-4642-A5E7-BAC1D5A9CECD}"/>
    <hyperlink ref="D33" r:id="rId53" display="https://www.x-rates.com/graph/?from=AUD&amp;to=INR" xr:uid="{55E047E3-1730-43CD-AE1B-3FCF712F66B8}"/>
    <hyperlink ref="E33" r:id="rId54" display="https://www.x-rates.com/graph/?from=INR&amp;to=AUD" xr:uid="{03BD26FD-A57B-45BD-8E1B-645CBC828928}"/>
    <hyperlink ref="D34" r:id="rId55" display="https://www.x-rates.com/graph/?from=AUD&amp;to=IDR" xr:uid="{B264234A-AF42-4485-A9A5-B4F1C1BF6740}"/>
    <hyperlink ref="E34" r:id="rId56" display="https://www.x-rates.com/graph/?from=IDR&amp;to=AUD" xr:uid="{81E41F6D-9FE9-4A4C-AC03-BE27557DF9D2}"/>
    <hyperlink ref="D35" r:id="rId57" display="https://www.x-rates.com/graph/?from=AUD&amp;to=IRR" xr:uid="{31E63AB9-D8F7-4EF1-AB88-0F2B8CE7237F}"/>
    <hyperlink ref="E35" r:id="rId58" display="https://www.x-rates.com/graph/?from=IRR&amp;to=AUD" xr:uid="{37E4F6CF-5CCB-431C-A543-5B3E5CC72551}"/>
    <hyperlink ref="D36" r:id="rId59" display="https://www.x-rates.com/graph/?from=AUD&amp;to=ILS" xr:uid="{C0D11969-A46D-4C35-A7E6-BD1979F7CAEA}"/>
    <hyperlink ref="E36" r:id="rId60" display="https://www.x-rates.com/graph/?from=ILS&amp;to=AUD" xr:uid="{5BB081E1-85B2-49D3-9874-52E1EEF86A0D}"/>
    <hyperlink ref="D37" r:id="rId61" display="https://www.x-rates.com/graph/?from=AUD&amp;to=JPY" xr:uid="{85C6346E-0914-4B04-91ED-40AC0F48B31B}"/>
    <hyperlink ref="E37" r:id="rId62" display="https://www.x-rates.com/graph/?from=JPY&amp;to=AUD" xr:uid="{826CC578-59B5-451F-ABA2-AD921BABF7DF}"/>
    <hyperlink ref="D38" r:id="rId63" display="https://www.x-rates.com/graph/?from=AUD&amp;to=KZT" xr:uid="{E5AFFBAF-98AB-45F7-9764-D9389AAE93BD}"/>
    <hyperlink ref="E38" r:id="rId64" display="https://www.x-rates.com/graph/?from=KZT&amp;to=AUD" xr:uid="{F6DE2EAA-7069-48D3-B546-C4D6FF3F80DA}"/>
    <hyperlink ref="D39" r:id="rId65" display="https://www.x-rates.com/graph/?from=AUD&amp;to=KRW" xr:uid="{577AB294-591E-4F50-BAAB-D05ED9E5E051}"/>
    <hyperlink ref="E39" r:id="rId66" display="https://www.x-rates.com/graph/?from=KRW&amp;to=AUD" xr:uid="{B2869C93-E3C8-4CE5-AEF9-33FB89B7FB01}"/>
    <hyperlink ref="D40" r:id="rId67" display="https://www.x-rates.com/graph/?from=AUD&amp;to=KWD" xr:uid="{28A60D0E-B433-4693-B07C-85B45AAF61DD}"/>
    <hyperlink ref="E40" r:id="rId68" display="https://www.x-rates.com/graph/?from=KWD&amp;to=AUD" xr:uid="{95AEF57B-D494-49C8-8D73-D6591DA26A07}"/>
    <hyperlink ref="D41" r:id="rId69" display="https://www.x-rates.com/graph/?from=AUD&amp;to=LYD" xr:uid="{59E6633F-6B6E-49FC-AB9F-890C31F8755E}"/>
    <hyperlink ref="E41" r:id="rId70" display="https://www.x-rates.com/graph/?from=LYD&amp;to=AUD" xr:uid="{BDB64AA5-3C2B-4A07-A999-5451308B2CFF}"/>
    <hyperlink ref="D42" r:id="rId71" display="https://www.x-rates.com/graph/?from=AUD&amp;to=MYR" xr:uid="{79F824D8-5887-4961-B758-7DD26A8B49B2}"/>
    <hyperlink ref="E42" r:id="rId72" display="https://www.x-rates.com/graph/?from=MYR&amp;to=AUD" xr:uid="{6C7B9C62-433B-4536-9F88-9B770BD49482}"/>
    <hyperlink ref="D43" r:id="rId73" display="https://www.x-rates.com/graph/?from=AUD&amp;to=MUR" xr:uid="{A11FDA5F-F31D-4F86-80C3-7234AA698DB8}"/>
    <hyperlink ref="E43" r:id="rId74" display="https://www.x-rates.com/graph/?from=MUR&amp;to=AUD" xr:uid="{67387380-6F94-46AE-B42A-99E09076B0B3}"/>
    <hyperlink ref="D44" r:id="rId75" display="https://www.x-rates.com/graph/?from=AUD&amp;to=MXN" xr:uid="{4FB7B4BD-BC45-4C5B-A426-6D4A161ED9CB}"/>
    <hyperlink ref="E44" r:id="rId76" display="https://www.x-rates.com/graph/?from=MXN&amp;to=AUD" xr:uid="{EB2DE683-7C42-4CAC-A316-8EC6627DF542}"/>
    <hyperlink ref="D45" r:id="rId77" display="https://www.x-rates.com/graph/?from=AUD&amp;to=NPR" xr:uid="{868FEB9A-BE03-4A36-A354-C47A0C4C1905}"/>
    <hyperlink ref="E45" r:id="rId78" display="https://www.x-rates.com/graph/?from=NPR&amp;to=AUD" xr:uid="{B581C18B-4E05-4BA5-9B1C-34761D0A43A7}"/>
    <hyperlink ref="D46" r:id="rId79" display="https://www.x-rates.com/graph/?from=AUD&amp;to=NZD" xr:uid="{EB02B47A-C853-47EB-84DE-FDFA599DB60A}"/>
    <hyperlink ref="E46" r:id="rId80" display="https://www.x-rates.com/graph/?from=NZD&amp;to=AUD" xr:uid="{EB9F36D0-550C-4CF3-B2DC-C8F37C181DFB}"/>
    <hyperlink ref="D47" r:id="rId81" display="https://www.x-rates.com/graph/?from=AUD&amp;to=NOK" xr:uid="{9C87D04F-D61E-41C7-BC75-E35C354EDB81}"/>
    <hyperlink ref="E47" r:id="rId82" display="https://www.x-rates.com/graph/?from=NOK&amp;to=AUD" xr:uid="{33467A41-ACAC-4784-B57E-C76F0579E219}"/>
    <hyperlink ref="D48" r:id="rId83" display="https://www.x-rates.com/graph/?from=AUD&amp;to=OMR" xr:uid="{60006281-A057-4EED-9817-B342719F5731}"/>
    <hyperlink ref="E48" r:id="rId84" display="https://www.x-rates.com/graph/?from=OMR&amp;to=AUD" xr:uid="{AB0B2E93-FDDE-4A16-AF84-D2AB71B94897}"/>
    <hyperlink ref="D49" r:id="rId85" display="https://www.x-rates.com/graph/?from=AUD&amp;to=PKR" xr:uid="{19FBD424-B7F6-4642-8E3E-410096BD99B6}"/>
    <hyperlink ref="E49" r:id="rId86" display="https://www.x-rates.com/graph/?from=PKR&amp;to=AUD" xr:uid="{1AA3B627-75F9-45C1-A05E-0E0272E9E495}"/>
    <hyperlink ref="D50" r:id="rId87" display="https://www.x-rates.com/graph/?from=AUD&amp;to=PHP" xr:uid="{E153AFD1-DD61-41C5-94C8-5423A11FFFF7}"/>
    <hyperlink ref="E50" r:id="rId88" display="https://www.x-rates.com/graph/?from=PHP&amp;to=AUD" xr:uid="{5DE2FA77-34A6-4CB3-BBAC-3253C7CB4123}"/>
    <hyperlink ref="D51" r:id="rId89" display="https://www.x-rates.com/graph/?from=AUD&amp;to=PLN" xr:uid="{121DCA1F-8B99-45D0-8EA4-FE355A7C362F}"/>
    <hyperlink ref="E51" r:id="rId90" display="https://www.x-rates.com/graph/?from=PLN&amp;to=AUD" xr:uid="{AC6EA37B-9F6F-4068-AE7A-CF0FE0D684FD}"/>
    <hyperlink ref="D52" r:id="rId91" display="https://www.x-rates.com/graph/?from=AUD&amp;to=QAR" xr:uid="{C4BA5229-AE95-40EE-9330-FEB8FD9AB074}"/>
    <hyperlink ref="E52" r:id="rId92" display="https://www.x-rates.com/graph/?from=QAR&amp;to=AUD" xr:uid="{DC6A9124-9495-4B95-838E-21DBD9195F7D}"/>
    <hyperlink ref="D53" r:id="rId93" display="https://www.x-rates.com/graph/?from=AUD&amp;to=RON" xr:uid="{83E6CB36-C39E-4076-BB9A-25F32ADF03F3}"/>
    <hyperlink ref="E53" r:id="rId94" display="https://www.x-rates.com/graph/?from=RON&amp;to=AUD" xr:uid="{E31339CD-7545-4E3C-B696-DD90CDBF6620}"/>
    <hyperlink ref="D54" r:id="rId95" display="https://www.x-rates.com/graph/?from=AUD&amp;to=RUB" xr:uid="{31EF21C0-6768-46FD-97BF-9AE4C1708814}"/>
    <hyperlink ref="E54" r:id="rId96" display="https://www.x-rates.com/graph/?from=RUB&amp;to=AUD" xr:uid="{FFEA8454-9A96-4450-997D-73C75B4C7FDE}"/>
    <hyperlink ref="D55" r:id="rId97" display="https://www.x-rates.com/graph/?from=AUD&amp;to=SAR" xr:uid="{230B3597-E0CA-4DB9-A356-29A70C579451}"/>
    <hyperlink ref="E55" r:id="rId98" display="https://www.x-rates.com/graph/?from=SAR&amp;to=AUD" xr:uid="{C6305B04-68FC-4445-A0E1-24651E235799}"/>
    <hyperlink ref="D56" r:id="rId99" display="https://www.x-rates.com/graph/?from=AUD&amp;to=SGD" xr:uid="{F773F6C3-DF10-40DB-81C3-FDD4E8C932A0}"/>
    <hyperlink ref="E56" r:id="rId100" display="https://www.x-rates.com/graph/?from=SGD&amp;to=AUD" xr:uid="{7F678B37-A4E6-494C-8AE4-5DD310AB93AE}"/>
    <hyperlink ref="D57" r:id="rId101" display="https://www.x-rates.com/graph/?from=AUD&amp;to=ZAR" xr:uid="{5106AC24-82C5-4276-916D-36E231C01958}"/>
    <hyperlink ref="E57" r:id="rId102" display="https://www.x-rates.com/graph/?from=ZAR&amp;to=AUD" xr:uid="{157B7514-4A28-42B0-B9DA-B9D55071E81B}"/>
    <hyperlink ref="D58" r:id="rId103" display="https://www.x-rates.com/graph/?from=AUD&amp;to=LKR" xr:uid="{E9CC7353-478A-4727-B710-BF71EE42C691}"/>
    <hyperlink ref="E58" r:id="rId104" display="https://www.x-rates.com/graph/?from=LKR&amp;to=AUD" xr:uid="{7E3B5EB2-C9F1-49AC-9850-35F2D8B5E986}"/>
    <hyperlink ref="D59" r:id="rId105" display="https://www.x-rates.com/graph/?from=AUD&amp;to=SEK" xr:uid="{EC1577BF-E02B-4B36-A2CF-FE4F680F4517}"/>
    <hyperlink ref="E59" r:id="rId106" display="https://www.x-rates.com/graph/?from=SEK&amp;to=AUD" xr:uid="{11770CC2-A85D-4B49-AA92-3E321C086D90}"/>
    <hyperlink ref="D60" r:id="rId107" display="https://www.x-rates.com/graph/?from=AUD&amp;to=CHF" xr:uid="{5ACEFCAC-A670-4C75-A027-E63399D9010B}"/>
    <hyperlink ref="E60" r:id="rId108" display="https://www.x-rates.com/graph/?from=CHF&amp;to=AUD" xr:uid="{8415114D-E500-43D6-A36B-C904B41F4F9C}"/>
    <hyperlink ref="D61" r:id="rId109" display="https://www.x-rates.com/graph/?from=AUD&amp;to=TWD" xr:uid="{E30C6970-F363-4930-8394-72FF34386571}"/>
    <hyperlink ref="E61" r:id="rId110" display="https://www.x-rates.com/graph/?from=TWD&amp;to=AUD" xr:uid="{016DDC65-463A-4069-8927-02F8A7BD69CC}"/>
    <hyperlink ref="D62" r:id="rId111" display="https://www.x-rates.com/graph/?from=AUD&amp;to=THB" xr:uid="{0197FF43-3735-4E56-9ABF-11782D3C7384}"/>
    <hyperlink ref="E62" r:id="rId112" display="https://www.x-rates.com/graph/?from=THB&amp;to=AUD" xr:uid="{D2BBDFE6-2081-47F4-BAA8-1014A6D7FAF9}"/>
    <hyperlink ref="D63" r:id="rId113" display="https://www.x-rates.com/graph/?from=AUD&amp;to=TTD" xr:uid="{BEC64DD8-605C-4BF0-BCD3-CB5CF4F00EAA}"/>
    <hyperlink ref="E63" r:id="rId114" display="https://www.x-rates.com/graph/?from=TTD&amp;to=AUD" xr:uid="{3F22BEF1-6544-4529-A9CF-594D5EC6944D}"/>
    <hyperlink ref="D64" r:id="rId115" display="https://www.x-rates.com/graph/?from=AUD&amp;to=TRY" xr:uid="{2043A302-FD24-4E86-A58B-D5FD4264640D}"/>
    <hyperlink ref="E64" r:id="rId116" display="https://www.x-rates.com/graph/?from=TRY&amp;to=AUD" xr:uid="{6F6AB033-463D-46B5-9355-084162F10FF9}"/>
    <hyperlink ref="D65" r:id="rId117" display="https://www.x-rates.com/graph/?from=AUD&amp;to=AED" xr:uid="{7A7D976F-01E5-410F-AD81-F192875B3F75}"/>
    <hyperlink ref="E65" r:id="rId118" display="https://www.x-rates.com/graph/?from=AED&amp;to=AUD" xr:uid="{49DB386B-1F44-488A-BAD7-D68352E01D56}"/>
    <hyperlink ref="D66" r:id="rId119" display="https://www.x-rates.com/graph/?from=AUD&amp;to=GBP" xr:uid="{1F7A247E-F2BE-4ABE-9100-7A6EB8CF6ED9}"/>
    <hyperlink ref="E66" r:id="rId120" display="https://www.x-rates.com/graph/?from=GBP&amp;to=AUD" xr:uid="{865762AA-C6CD-468D-BBEC-7A4EB123F151}"/>
    <hyperlink ref="D67" r:id="rId121" display="https://www.x-rates.com/graph/?from=AUD&amp;to=USD" xr:uid="{CC2C1275-E044-43DC-9555-5747A4097099}"/>
    <hyperlink ref="E67" r:id="rId122" display="https://www.x-rates.com/graph/?from=USD&amp;to=AUD" xr:uid="{17E10C91-E3CA-4A25-8DF0-ABD3D90DCE06}"/>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38378-8831-4A46-9F51-293F98C7CEA4}">
  <dimension ref="B2:I54"/>
  <sheetViews>
    <sheetView workbookViewId="0">
      <selection activeCell="F48" sqref="F48"/>
    </sheetView>
  </sheetViews>
  <sheetFormatPr defaultRowHeight="15.5"/>
  <sheetData>
    <row r="2" spans="2:9" ht="16" thickBot="1"/>
    <row r="3" spans="2:9">
      <c r="C3" s="1037" t="s">
        <v>711</v>
      </c>
      <c r="D3" s="1038"/>
      <c r="E3" s="565"/>
      <c r="F3" s="1045" t="s">
        <v>713</v>
      </c>
      <c r="G3" s="1039"/>
      <c r="H3" s="1039"/>
      <c r="I3" s="1039"/>
    </row>
    <row r="4" spans="2:9">
      <c r="C4" s="1039" t="s">
        <v>712</v>
      </c>
      <c r="D4" s="1040"/>
      <c r="E4" s="565"/>
      <c r="F4" s="1045"/>
      <c r="G4" s="1039"/>
      <c r="H4" s="1039"/>
      <c r="I4" s="1039"/>
    </row>
    <row r="5" spans="2:9">
      <c r="C5" s="1041"/>
      <c r="D5" s="1042"/>
      <c r="E5" s="566"/>
      <c r="F5" s="1045"/>
      <c r="G5" s="1039"/>
      <c r="H5" s="1039"/>
      <c r="I5" s="1039"/>
    </row>
    <row r="6" spans="2:9" ht="16" thickBot="1">
      <c r="C6" s="1043"/>
      <c r="D6" s="1044"/>
      <c r="E6" s="559"/>
      <c r="F6" s="1046" t="s">
        <v>714</v>
      </c>
      <c r="G6" s="1047"/>
      <c r="H6" s="1047"/>
      <c r="I6" s="1047"/>
    </row>
    <row r="7" spans="2:9" ht="22" customHeight="1" thickBot="1">
      <c r="C7" s="1029" t="s">
        <v>715</v>
      </c>
      <c r="D7" s="1031" t="s">
        <v>716</v>
      </c>
      <c r="E7" s="570"/>
      <c r="F7" s="1033" t="s">
        <v>717</v>
      </c>
      <c r="G7" s="1034"/>
      <c r="H7" s="1035" t="s">
        <v>718</v>
      </c>
      <c r="I7" s="560" t="s">
        <v>719</v>
      </c>
    </row>
    <row r="8" spans="2:9" ht="23.5" thickBot="1">
      <c r="B8" t="s">
        <v>764</v>
      </c>
      <c r="C8" s="1030"/>
      <c r="D8" s="1032"/>
      <c r="E8" s="571" t="s">
        <v>626</v>
      </c>
      <c r="F8" s="561" t="s">
        <v>721</v>
      </c>
      <c r="G8" s="561" t="s">
        <v>722</v>
      </c>
      <c r="H8" s="1036"/>
      <c r="I8" s="561" t="s">
        <v>720</v>
      </c>
    </row>
    <row r="9" spans="2:9" ht="16.5" thickTop="1" thickBot="1">
      <c r="B9" t="s">
        <v>745</v>
      </c>
      <c r="C9" s="562" t="s">
        <v>723</v>
      </c>
      <c r="D9" s="563" t="s">
        <v>722</v>
      </c>
      <c r="E9" s="572">
        <f>'Exchange Rate data'!$D$6</f>
        <v>0.57260500000000003</v>
      </c>
      <c r="F9" s="562"/>
      <c r="G9" s="562">
        <v>0</v>
      </c>
      <c r="H9" s="562">
        <v>20</v>
      </c>
      <c r="I9" s="562"/>
    </row>
    <row r="10" spans="2:9" ht="16" thickBot="1">
      <c r="B10" t="s">
        <v>50</v>
      </c>
      <c r="C10" s="562" t="s">
        <v>724</v>
      </c>
      <c r="D10" s="563" t="s">
        <v>722</v>
      </c>
      <c r="E10" s="572">
        <f>'Exchange Rate data'!$D$6</f>
        <v>0.57260500000000003</v>
      </c>
      <c r="F10" s="562"/>
      <c r="G10" s="562">
        <v>74.908600000000007</v>
      </c>
      <c r="H10" s="562">
        <v>21</v>
      </c>
      <c r="I10" s="562"/>
    </row>
    <row r="11" spans="2:9" ht="16" thickBot="1">
      <c r="B11" t="s">
        <v>747</v>
      </c>
      <c r="C11" s="562" t="s">
        <v>725</v>
      </c>
      <c r="D11" s="563" t="s">
        <v>722</v>
      </c>
      <c r="E11" s="572">
        <f>'Exchange Rate data'!$D$6</f>
        <v>0.57260500000000003</v>
      </c>
      <c r="F11" s="562"/>
      <c r="G11" s="562">
        <v>0</v>
      </c>
      <c r="H11" s="562">
        <v>19</v>
      </c>
      <c r="I11" s="562"/>
    </row>
    <row r="12" spans="2:9" ht="16" thickBot="1">
      <c r="B12" t="s">
        <v>54</v>
      </c>
      <c r="C12" s="562" t="s">
        <v>726</v>
      </c>
      <c r="D12" s="563" t="s">
        <v>722</v>
      </c>
      <c r="E12" s="572">
        <f>'Exchange Rate data'!$D$6</f>
        <v>0.57260500000000003</v>
      </c>
      <c r="F12" s="562"/>
      <c r="G12" s="562">
        <v>0</v>
      </c>
      <c r="H12" s="564">
        <v>16</v>
      </c>
      <c r="I12" s="562"/>
    </row>
    <row r="13" spans="2:9" ht="16" thickBot="1">
      <c r="B13" t="s">
        <v>749</v>
      </c>
      <c r="C13" s="562" t="s">
        <v>727</v>
      </c>
      <c r="D13" s="563" t="s">
        <v>722</v>
      </c>
      <c r="E13" s="572">
        <f>'Exchange Rate data'!$D$6</f>
        <v>0.57260500000000003</v>
      </c>
      <c r="F13" s="562"/>
      <c r="G13" s="562">
        <v>147.82</v>
      </c>
      <c r="H13" s="562">
        <v>20</v>
      </c>
      <c r="I13" s="562"/>
    </row>
    <row r="14" spans="2:9" ht="16" thickBot="1">
      <c r="B14" t="s">
        <v>750</v>
      </c>
      <c r="C14" s="562" t="s">
        <v>728</v>
      </c>
      <c r="D14" s="563" t="s">
        <v>722</v>
      </c>
      <c r="E14" s="572">
        <f>'Exchange Rate data'!$D$6</f>
        <v>0.57260500000000003</v>
      </c>
      <c r="F14" s="562"/>
      <c r="G14" s="564">
        <v>0</v>
      </c>
      <c r="H14" s="564">
        <v>24</v>
      </c>
      <c r="I14" s="562"/>
    </row>
    <row r="15" spans="2:9" ht="16" thickBot="1">
      <c r="B15" t="s">
        <v>751</v>
      </c>
      <c r="C15" s="562" t="s">
        <v>729</v>
      </c>
      <c r="D15" s="563" t="s">
        <v>722</v>
      </c>
      <c r="E15" s="572">
        <f>'Exchange Rate data'!$D$6</f>
        <v>0.57260500000000003</v>
      </c>
      <c r="F15" s="562"/>
      <c r="G15" s="562">
        <v>0</v>
      </c>
      <c r="H15" s="562">
        <v>21</v>
      </c>
      <c r="I15" s="562"/>
    </row>
    <row r="16" spans="2:9" ht="16" thickBot="1">
      <c r="B16" t="s">
        <v>752</v>
      </c>
      <c r="C16" s="567" t="s">
        <v>730</v>
      </c>
      <c r="D16" s="568" t="s">
        <v>722</v>
      </c>
      <c r="E16" s="572">
        <f>'Exchange Rate data'!$D$6</f>
        <v>0.57260500000000003</v>
      </c>
      <c r="F16" s="562"/>
      <c r="G16" s="562">
        <v>397</v>
      </c>
      <c r="H16" s="562">
        <v>24</v>
      </c>
      <c r="I16" s="562"/>
    </row>
    <row r="17" spans="2:9" ht="16" thickBot="1">
      <c r="B17" t="s">
        <v>753</v>
      </c>
      <c r="C17" s="562" t="s">
        <v>731</v>
      </c>
      <c r="D17" s="563" t="s">
        <v>722</v>
      </c>
      <c r="E17" s="572">
        <f>'Exchange Rate data'!$D$6</f>
        <v>0.57260500000000003</v>
      </c>
      <c r="F17" s="562"/>
      <c r="G17" s="564">
        <v>3.88</v>
      </c>
      <c r="H17" s="562">
        <v>20</v>
      </c>
      <c r="I17" s="562"/>
    </row>
    <row r="18" spans="2:9" ht="16" thickBot="1">
      <c r="B18" t="s">
        <v>746</v>
      </c>
      <c r="C18" s="562" t="s">
        <v>732</v>
      </c>
      <c r="D18" s="563" t="s">
        <v>722</v>
      </c>
      <c r="E18" s="572">
        <f>'Exchange Rate data'!$D$6</f>
        <v>0.57260500000000003</v>
      </c>
      <c r="F18" s="562">
        <v>0</v>
      </c>
      <c r="G18" s="562">
        <v>0</v>
      </c>
      <c r="H18" s="562">
        <v>25</v>
      </c>
      <c r="I18" s="562"/>
    </row>
    <row r="19" spans="2:9" ht="23.5" thickBot="1">
      <c r="B19" t="s">
        <v>754</v>
      </c>
      <c r="C19" s="567" t="s">
        <v>733</v>
      </c>
      <c r="D19" s="568" t="s">
        <v>722</v>
      </c>
      <c r="E19" s="572">
        <f>'Exchange Rate data'!$D$6</f>
        <v>0.57260500000000003</v>
      </c>
      <c r="F19" s="562"/>
      <c r="G19" s="562">
        <v>424.84</v>
      </c>
      <c r="H19" s="562">
        <v>23</v>
      </c>
      <c r="I19" s="562" t="s">
        <v>734</v>
      </c>
    </row>
    <row r="20" spans="2:9" ht="16" thickBot="1">
      <c r="B20" t="s">
        <v>755</v>
      </c>
      <c r="C20" s="562" t="s">
        <v>735</v>
      </c>
      <c r="D20" s="563" t="s">
        <v>722</v>
      </c>
      <c r="E20" s="572">
        <f>'Exchange Rate data'!$D$6</f>
        <v>0.57260500000000003</v>
      </c>
      <c r="F20" s="562"/>
      <c r="G20" s="562">
        <v>0</v>
      </c>
      <c r="H20" s="562">
        <v>22</v>
      </c>
      <c r="I20" s="562"/>
    </row>
    <row r="21" spans="2:9" ht="16" thickBot="1">
      <c r="B21" t="s">
        <v>756</v>
      </c>
      <c r="C21" s="562" t="s">
        <v>736</v>
      </c>
      <c r="D21" s="563" t="s">
        <v>722</v>
      </c>
      <c r="E21" s="572">
        <f>'Exchange Rate data'!$D$6</f>
        <v>0.57260500000000003</v>
      </c>
      <c r="F21" s="562"/>
      <c r="G21" s="564">
        <v>164.67</v>
      </c>
      <c r="H21" s="562">
        <v>21</v>
      </c>
      <c r="I21" s="562"/>
    </row>
    <row r="22" spans="2:9" ht="16" thickBot="1">
      <c r="B22" t="s">
        <v>757</v>
      </c>
      <c r="C22" s="562" t="s">
        <v>737</v>
      </c>
      <c r="D22" s="563" t="s">
        <v>722</v>
      </c>
      <c r="E22" s="572">
        <f>'Exchange Rate data'!$D$6</f>
        <v>0.57260500000000003</v>
      </c>
      <c r="F22" s="562"/>
      <c r="G22" s="562">
        <v>0</v>
      </c>
      <c r="H22" s="562">
        <v>17</v>
      </c>
      <c r="I22" s="562"/>
    </row>
    <row r="23" spans="2:9" ht="16" thickBot="1">
      <c r="B23" t="s">
        <v>758</v>
      </c>
      <c r="C23" s="562" t="s">
        <v>738</v>
      </c>
      <c r="D23" s="563" t="s">
        <v>722</v>
      </c>
      <c r="E23" s="572">
        <f>'Exchange Rate data'!$D$6</f>
        <v>0.57260500000000003</v>
      </c>
      <c r="F23" s="562"/>
      <c r="G23" s="564">
        <v>106</v>
      </c>
      <c r="H23" s="562">
        <v>21</v>
      </c>
      <c r="I23" s="562"/>
    </row>
    <row r="24" spans="2:9" ht="16" thickBot="1">
      <c r="B24" t="s">
        <v>759</v>
      </c>
      <c r="C24" s="562" t="s">
        <v>739</v>
      </c>
      <c r="D24" s="563" t="s">
        <v>722</v>
      </c>
      <c r="E24" s="572">
        <f>'Exchange Rate data'!$D$6</f>
        <v>0.57260500000000003</v>
      </c>
      <c r="F24" s="562"/>
      <c r="G24" s="562">
        <v>20.5</v>
      </c>
      <c r="H24" s="562">
        <v>18</v>
      </c>
      <c r="I24" s="562"/>
    </row>
    <row r="25" spans="2:9" ht="16" thickBot="1">
      <c r="B25" t="s">
        <v>56</v>
      </c>
      <c r="C25" s="562" t="s">
        <v>740</v>
      </c>
      <c r="D25" s="563" t="s">
        <v>722</v>
      </c>
      <c r="E25" s="572">
        <f>'Exchange Rate data'!$D$6</f>
        <v>0.57260500000000003</v>
      </c>
      <c r="F25" s="562"/>
      <c r="G25" s="562">
        <v>88.3</v>
      </c>
      <c r="H25" s="562">
        <v>21</v>
      </c>
      <c r="I25" s="562" t="s">
        <v>741</v>
      </c>
    </row>
    <row r="26" spans="2:9" ht="16" thickBot="1">
      <c r="B26" t="s">
        <v>760</v>
      </c>
      <c r="C26" s="562" t="s">
        <v>742</v>
      </c>
      <c r="D26" s="563" t="s">
        <v>722</v>
      </c>
      <c r="E26" s="572">
        <f>'Exchange Rate data'!$D$6</f>
        <v>0.57260500000000003</v>
      </c>
      <c r="F26" s="562"/>
      <c r="G26" s="562">
        <v>0</v>
      </c>
      <c r="H26" s="562">
        <v>13</v>
      </c>
      <c r="I26" s="562"/>
    </row>
    <row r="27" spans="2:9" ht="16" thickBot="1">
      <c r="B27" t="s">
        <v>761</v>
      </c>
      <c r="C27" s="562" t="s">
        <v>743</v>
      </c>
      <c r="D27" s="563" t="s">
        <v>722</v>
      </c>
      <c r="E27" s="572">
        <f>'Exchange Rate data'!$D$6</f>
        <v>0.57260500000000003</v>
      </c>
      <c r="F27" s="562"/>
      <c r="G27" s="562">
        <v>0</v>
      </c>
      <c r="H27" s="562">
        <v>22</v>
      </c>
      <c r="I27" s="562"/>
    </row>
    <row r="28" spans="2:9" ht="16" thickBot="1">
      <c r="B28" t="s">
        <v>762</v>
      </c>
      <c r="C28" s="562" t="s">
        <v>744</v>
      </c>
      <c r="D28" s="563" t="s">
        <v>722</v>
      </c>
      <c r="E28" s="572">
        <f>'Exchange Rate data'!$D$6</f>
        <v>0.57260500000000003</v>
      </c>
      <c r="F28" s="562"/>
      <c r="G28" s="562">
        <v>0</v>
      </c>
      <c r="H28" s="562">
        <v>20</v>
      </c>
      <c r="I28" s="562"/>
    </row>
    <row r="36" spans="2:2">
      <c r="B36" t="s">
        <v>745</v>
      </c>
    </row>
    <row r="37" spans="2:2">
      <c r="B37" t="s">
        <v>50</v>
      </c>
    </row>
    <row r="38" spans="2:2">
      <c r="B38" t="s">
        <v>746</v>
      </c>
    </row>
    <row r="39" spans="2:2">
      <c r="B39" t="s">
        <v>747</v>
      </c>
    </row>
    <row r="40" spans="2:2">
      <c r="B40" t="s">
        <v>749</v>
      </c>
    </row>
    <row r="41" spans="2:2">
      <c r="B41" t="s">
        <v>753</v>
      </c>
    </row>
    <row r="42" spans="2:2">
      <c r="B42" t="s">
        <v>54</v>
      </c>
    </row>
    <row r="43" spans="2:2">
      <c r="B43" t="s">
        <v>750</v>
      </c>
    </row>
    <row r="44" spans="2:2">
      <c r="B44" t="s">
        <v>754</v>
      </c>
    </row>
    <row r="45" spans="2:2">
      <c r="B45" t="s">
        <v>755</v>
      </c>
    </row>
    <row r="46" spans="2:2">
      <c r="B46" t="s">
        <v>758</v>
      </c>
    </row>
    <row r="47" spans="2:2">
      <c r="B47" t="s">
        <v>756</v>
      </c>
    </row>
    <row r="48" spans="2:2">
      <c r="B48" t="s">
        <v>757</v>
      </c>
    </row>
    <row r="49" spans="2:2">
      <c r="B49" t="s">
        <v>759</v>
      </c>
    </row>
    <row r="50" spans="2:2">
      <c r="B50" t="s">
        <v>56</v>
      </c>
    </row>
    <row r="51" spans="2:2">
      <c r="B51" t="s">
        <v>760</v>
      </c>
    </row>
    <row r="52" spans="2:2">
      <c r="B52" t="s">
        <v>762</v>
      </c>
    </row>
    <row r="53" spans="2:2">
      <c r="B53" t="s">
        <v>761</v>
      </c>
    </row>
    <row r="54" spans="2:2">
      <c r="B54" t="s">
        <v>751</v>
      </c>
    </row>
  </sheetData>
  <sortState xmlns:xlrd2="http://schemas.microsoft.com/office/spreadsheetml/2017/richdata2" ref="B36:B54">
    <sortCondition ref="B36:B54"/>
  </sortState>
  <mergeCells count="12">
    <mergeCell ref="C7:C8"/>
    <mergeCell ref="D7:D8"/>
    <mergeCell ref="F7:G7"/>
    <mergeCell ref="H7:H8"/>
    <mergeCell ref="C3:D3"/>
    <mergeCell ref="C4:D4"/>
    <mergeCell ref="C5:D5"/>
    <mergeCell ref="C6:D6"/>
    <mergeCell ref="F3:I3"/>
    <mergeCell ref="F4:I4"/>
    <mergeCell ref="F5:I5"/>
    <mergeCell ref="F6:I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92839-E32B-D44E-A630-402F60D7DBA4}">
  <sheetPr codeName="Sheet3">
    <tabColor theme="9"/>
  </sheetPr>
  <dimension ref="A1:O9"/>
  <sheetViews>
    <sheetView workbookViewId="0">
      <selection activeCell="Q11" sqref="Q11:Q15"/>
    </sheetView>
  </sheetViews>
  <sheetFormatPr defaultColWidth="10.83203125" defaultRowHeight="20"/>
  <cols>
    <col min="1" max="1" width="12.08203125" style="3" customWidth="1"/>
    <col min="2" max="2" width="18.58203125" style="3" customWidth="1"/>
    <col min="3" max="4" width="19.58203125" style="3" customWidth="1"/>
    <col min="5" max="5" width="17" style="3" customWidth="1"/>
    <col min="6" max="6" width="11.08203125" style="3" bestFit="1" customWidth="1"/>
    <col min="7" max="7" width="21.83203125" style="3" customWidth="1"/>
    <col min="8" max="8" width="32.33203125" style="3" customWidth="1"/>
    <col min="9" max="9" width="13.33203125" style="3" bestFit="1" customWidth="1"/>
    <col min="10" max="10" width="34.08203125" style="3" customWidth="1"/>
    <col min="11" max="11" width="11.08203125" style="3" customWidth="1"/>
    <col min="12" max="12" width="30.33203125" style="3" customWidth="1"/>
    <col min="13" max="13" width="11.08203125" style="3" bestFit="1" customWidth="1"/>
    <col min="14" max="14" width="19.08203125" style="3" bestFit="1" customWidth="1"/>
    <col min="15" max="16384" width="10.83203125" style="3"/>
  </cols>
  <sheetData>
    <row r="1" spans="1:15" ht="37" customHeight="1">
      <c r="A1" s="861" t="s">
        <v>234</v>
      </c>
      <c r="B1" s="861"/>
      <c r="C1" s="861"/>
    </row>
    <row r="2" spans="1:15" ht="37" customHeight="1" thickBot="1">
      <c r="A2" s="852" t="s">
        <v>206</v>
      </c>
      <c r="B2" s="852"/>
      <c r="C2" s="852"/>
    </row>
    <row r="3" spans="1:15" ht="34" customHeight="1" thickBot="1">
      <c r="B3" s="321" t="s">
        <v>82</v>
      </c>
      <c r="C3" s="322"/>
      <c r="D3" s="322"/>
      <c r="E3" s="322"/>
      <c r="F3" s="322"/>
      <c r="G3" s="322"/>
      <c r="H3" s="322"/>
      <c r="I3" s="322"/>
      <c r="J3" s="322"/>
      <c r="K3" s="322"/>
      <c r="L3" s="322"/>
      <c r="M3" s="322"/>
      <c r="N3" s="323"/>
    </row>
    <row r="4" spans="1:15" s="100" customFormat="1" ht="49" customHeight="1">
      <c r="B4" s="317" t="s">
        <v>47</v>
      </c>
      <c r="C4" s="318" t="str">
        <f>Home!B10</f>
        <v>Brand</v>
      </c>
      <c r="D4" s="318" t="str">
        <f>Home!C10</f>
        <v>Range</v>
      </c>
      <c r="E4" s="318" t="str">
        <f>Home!D10</f>
        <v>Varietal</v>
      </c>
      <c r="F4" s="319" t="s">
        <v>491</v>
      </c>
      <c r="G4" s="319" t="s">
        <v>506</v>
      </c>
      <c r="H4" s="318" t="s">
        <v>72</v>
      </c>
      <c r="I4" s="318" t="s">
        <v>73</v>
      </c>
      <c r="J4" s="318" t="s">
        <v>74</v>
      </c>
      <c r="K4" s="318" t="s">
        <v>73</v>
      </c>
      <c r="L4" s="318" t="s">
        <v>75</v>
      </c>
      <c r="M4" s="318" t="s">
        <v>73</v>
      </c>
      <c r="N4" s="320" t="s">
        <v>507</v>
      </c>
    </row>
    <row r="5" spans="1:15">
      <c r="B5" s="150" t="str">
        <f>Home!E21</f>
        <v>Select Market</v>
      </c>
      <c r="C5" s="24">
        <f>Home!B11</f>
        <v>0</v>
      </c>
      <c r="D5" s="24">
        <f>Home!C11</f>
        <v>0</v>
      </c>
      <c r="E5" s="24" t="str">
        <f>Home!D11</f>
        <v>Lead varietal first</v>
      </c>
      <c r="F5" s="101">
        <f>Home!G21</f>
        <v>0</v>
      </c>
      <c r="G5" s="102">
        <f>IF(B5="China",F5*'HKD XR data'!C$32,0)/1.33</f>
        <v>0</v>
      </c>
      <c r="H5" s="103"/>
      <c r="I5" s="104"/>
      <c r="J5" s="103"/>
      <c r="K5" s="104"/>
      <c r="L5" s="103"/>
      <c r="M5" s="104"/>
      <c r="N5" s="151">
        <f>IFERROR(AVERAGE(I5,K5,M5),0)</f>
        <v>0</v>
      </c>
      <c r="O5" s="3" t="str">
        <f>IF(B5="China", "If you are using Winesearcher for China, look in Hong Kong for your competitor. We automatically calculate the tax differences on the Wine Offer Template.", "")</f>
        <v/>
      </c>
    </row>
    <row r="6" spans="1:15">
      <c r="B6" s="150" t="str">
        <f>Home!E22</f>
        <v>Select Market</v>
      </c>
      <c r="C6" s="24">
        <f>Home!B12</f>
        <v>0</v>
      </c>
      <c r="D6" s="24">
        <f>Home!C12</f>
        <v>0</v>
      </c>
      <c r="E6" s="24">
        <f>Home!D12</f>
        <v>0</v>
      </c>
      <c r="F6" s="101">
        <f>Home!G22</f>
        <v>0</v>
      </c>
      <c r="G6" s="102">
        <f>IF(B6="China",F6*'HKD XR data'!C$32,0)/1.33</f>
        <v>0</v>
      </c>
      <c r="H6" s="103"/>
      <c r="I6" s="104"/>
      <c r="J6" s="103"/>
      <c r="K6" s="104"/>
      <c r="L6" s="103"/>
      <c r="M6" s="104"/>
      <c r="N6" s="151">
        <f t="shared" ref="N6:N9" si="0">IFERROR(AVERAGE(I6,K6,M6),0)</f>
        <v>0</v>
      </c>
      <c r="O6" s="3" t="str">
        <f t="shared" ref="O6:O9" si="1">IF(B6="China", "If you are using Winesearcher for China, look in Hong Kong for your competitor. We automatically calculate the tax differences on the Wine Offer Template.", "")</f>
        <v/>
      </c>
    </row>
    <row r="7" spans="1:15">
      <c r="B7" s="150" t="str">
        <f>Home!E23</f>
        <v>Select Market</v>
      </c>
      <c r="C7" s="24">
        <f>Home!B13</f>
        <v>0</v>
      </c>
      <c r="D7" s="24">
        <f>Home!C13</f>
        <v>0</v>
      </c>
      <c r="E7" s="24">
        <f>Home!D13</f>
        <v>0</v>
      </c>
      <c r="F7" s="101">
        <f>Home!G23</f>
        <v>0</v>
      </c>
      <c r="G7" s="102">
        <f>IF(B7="China",F7*'HKD XR data'!C$32,0)/1.33</f>
        <v>0</v>
      </c>
      <c r="H7" s="103"/>
      <c r="I7" s="104"/>
      <c r="J7" s="103"/>
      <c r="K7" s="104"/>
      <c r="L7" s="103"/>
      <c r="M7" s="104"/>
      <c r="N7" s="151">
        <f t="shared" si="0"/>
        <v>0</v>
      </c>
      <c r="O7" s="3" t="str">
        <f>IF(B7="China", "If you are using Winesearcher for China, look in Hong Kong for your competitor. We automatically calculate the tax differences on the Wine Offer Template.", "")</f>
        <v/>
      </c>
    </row>
    <row r="8" spans="1:15">
      <c r="B8" s="150" t="str">
        <f>Home!E24</f>
        <v>Select Market</v>
      </c>
      <c r="C8" s="24">
        <f>Home!B14</f>
        <v>0</v>
      </c>
      <c r="D8" s="24">
        <f>Home!C14</f>
        <v>0</v>
      </c>
      <c r="E8" s="24">
        <f>Home!D14</f>
        <v>0</v>
      </c>
      <c r="F8" s="101">
        <f>Home!G24</f>
        <v>0</v>
      </c>
      <c r="G8" s="102">
        <f>IF(B8="China",F8*'HKD XR data'!C$32,0)/1.33</f>
        <v>0</v>
      </c>
      <c r="H8" s="103"/>
      <c r="I8" s="104"/>
      <c r="J8" s="103"/>
      <c r="K8" s="104"/>
      <c r="L8" s="103"/>
      <c r="M8" s="104"/>
      <c r="N8" s="151">
        <f t="shared" si="0"/>
        <v>0</v>
      </c>
      <c r="O8" s="3" t="str">
        <f t="shared" si="1"/>
        <v/>
      </c>
    </row>
    <row r="9" spans="1:15" ht="20.5" thickBot="1">
      <c r="B9" s="152" t="str">
        <f>Home!E25</f>
        <v>Select Market</v>
      </c>
      <c r="C9" s="153">
        <f>Home!B15</f>
        <v>0</v>
      </c>
      <c r="D9" s="153">
        <f>Home!C15</f>
        <v>0</v>
      </c>
      <c r="E9" s="153">
        <f>Home!D15</f>
        <v>0</v>
      </c>
      <c r="F9" s="154">
        <f>Home!G25</f>
        <v>0</v>
      </c>
      <c r="G9" s="155">
        <f>IF(B9="China",F9*'HKD XR data'!C$32,0)/1.33</f>
        <v>0</v>
      </c>
      <c r="H9" s="156"/>
      <c r="I9" s="157"/>
      <c r="J9" s="156"/>
      <c r="K9" s="157"/>
      <c r="L9" s="156"/>
      <c r="M9" s="157"/>
      <c r="N9" s="158">
        <f t="shared" si="0"/>
        <v>0</v>
      </c>
      <c r="O9" s="3" t="str">
        <f t="shared" si="1"/>
        <v/>
      </c>
    </row>
  </sheetData>
  <sheetProtection algorithmName="SHA-512" hashValue="aRRssjBLzaKuc7A8PTHxnnfQ/XLwRu8k2k0NOFjGLI6rej5i0KbkUPJN3LDEogcqAavtE7jhzq+z/Ld8cuYp+A==" saltValue="oAt7fUPpQvIviCZREhvhrw==" spinCount="100000" sheet="1" objects="1" scenarios="1"/>
  <mergeCells count="2">
    <mergeCell ref="A2:C2"/>
    <mergeCell ref="A1:C1"/>
  </mergeCells>
  <conditionalFormatting sqref="B5:B9">
    <cfRule type="containsText" dxfId="229" priority="1" operator="containsText" text="Select Market">
      <formula>NOT(ISERROR(SEARCH("Select Market",B5)))</formula>
    </cfRule>
  </conditionalFormatting>
  <conditionalFormatting sqref="C5:G9">
    <cfRule type="cellIs" dxfId="228" priority="76" operator="equal">
      <formula>0</formula>
    </cfRule>
  </conditionalFormatting>
  <conditionalFormatting sqref="F5:F9">
    <cfRule type="expression" dxfId="227" priority="77">
      <formula>IF(B5="Thailand",1,0)</formula>
    </cfRule>
    <cfRule type="expression" dxfId="226" priority="78">
      <formula>IF(B5="Sweden",1,0)</formula>
    </cfRule>
    <cfRule type="expression" dxfId="225" priority="79">
      <formula>IF(B5="South Korea",1,0)</formula>
    </cfRule>
    <cfRule type="expression" dxfId="224" priority="80">
      <formula>IF(B5="Singapore",1,0)</formula>
    </cfRule>
    <cfRule type="expression" dxfId="223" priority="81">
      <formula>IF(B5="Poland",1,0)</formula>
    </cfRule>
    <cfRule type="expression" dxfId="222" priority="82">
      <formula>IF(B5="Japan",1,0)</formula>
    </cfRule>
    <cfRule type="expression" dxfId="221" priority="83">
      <formula>IF(B5="Denmark",1,0)</formula>
    </cfRule>
    <cfRule type="expression" dxfId="220" priority="84">
      <formula>IF(B5="Canada",1,0)</formula>
    </cfRule>
    <cfRule type="expression" dxfId="219" priority="85">
      <formula>IF(B5="Brazil",1,0)</formula>
    </cfRule>
    <cfRule type="expression" dxfId="218" priority="86">
      <formula>IF(OR(B5="Belgium",B5="Germany",B5="Netherlands"),1,0)</formula>
    </cfRule>
    <cfRule type="expression" dxfId="217" priority="87">
      <formula>IF(B5="UK",1,0)</formula>
    </cfRule>
    <cfRule type="expression" dxfId="216" priority="88">
      <formula>IF(B5="Select Market",1,0)</formula>
    </cfRule>
    <cfRule type="expression" dxfId="215" priority="89">
      <formula>IF(B5="China",1,0)</formula>
    </cfRule>
  </conditionalFormatting>
  <conditionalFormatting sqref="H5:H9">
    <cfRule type="containsBlanks" dxfId="214" priority="431">
      <formula>LEN(TRIM(H5))=0</formula>
    </cfRule>
    <cfRule type="containsText" dxfId="213" priority="432" operator="containsText" text="Name">
      <formula>NOT(ISERROR(SEARCH("Name",H5)))</formula>
    </cfRule>
  </conditionalFormatting>
  <conditionalFormatting sqref="I5:I9">
    <cfRule type="containsBlanks" dxfId="212" priority="1751">
      <formula>LEN(TRIM(I5))=0</formula>
    </cfRule>
    <cfRule type="containsText" dxfId="211" priority="1752" operator="containsText" text="Price">
      <formula>NOT(ISERROR(SEARCH("Price",I5)))</formula>
    </cfRule>
    <cfRule type="expression" dxfId="210" priority="1753">
      <formula>IF($B5="Thailand",1,0)</formula>
    </cfRule>
    <cfRule type="expression" dxfId="209" priority="1754">
      <formula>IF($B5="Sweden",1,0)</formula>
    </cfRule>
    <cfRule type="expression" dxfId="208" priority="1755">
      <formula>IF($B5="South Korea",1,0)</formula>
    </cfRule>
    <cfRule type="expression" dxfId="207" priority="1756">
      <formula>IF($B5="Singapore",1,0)</formula>
    </cfRule>
    <cfRule type="expression" dxfId="206" priority="1757">
      <formula>IF($B5="Poland",1,0)</formula>
    </cfRule>
    <cfRule type="expression" dxfId="205" priority="1758">
      <formula>IF($B5="Japan",1,0)</formula>
    </cfRule>
    <cfRule type="expression" dxfId="204" priority="1759">
      <formula>IF($B5="Denmark",1,0)</formula>
    </cfRule>
    <cfRule type="expression" dxfId="203" priority="1760">
      <formula>IF($B5="Canada",1,0)</formula>
    </cfRule>
    <cfRule type="expression" dxfId="202" priority="1761">
      <formula>IF($B5="Brazil",1,0)</formula>
    </cfRule>
    <cfRule type="expression" dxfId="201" priority="1762">
      <formula>IF(OR($B5="Belgium",$B5="Germany",$B5="Netherlands"),1,0)</formula>
    </cfRule>
    <cfRule type="expression" dxfId="200" priority="1763">
      <formula>IF($B5="UK",1,0)</formula>
    </cfRule>
    <cfRule type="expression" dxfId="199" priority="1764">
      <formula>IF($B5="Select Market",1,0)</formula>
    </cfRule>
    <cfRule type="expression" dxfId="198" priority="1765">
      <formula>IF($B5="China",1,0)</formula>
    </cfRule>
  </conditionalFormatting>
  <conditionalFormatting sqref="J5:J9">
    <cfRule type="containsBlanks" dxfId="197" priority="429">
      <formula>LEN(TRIM(J5))=0</formula>
    </cfRule>
    <cfRule type="containsText" dxfId="196" priority="430" operator="containsText" text="Name">
      <formula>NOT(ISERROR(SEARCH("Name",J5)))</formula>
    </cfRule>
  </conditionalFormatting>
  <conditionalFormatting sqref="K5:K9">
    <cfRule type="containsBlanks" dxfId="195" priority="61">
      <formula>LEN(TRIM(K5))=0</formula>
    </cfRule>
    <cfRule type="containsText" dxfId="194" priority="62" operator="containsText" text="Price">
      <formula>NOT(ISERROR(SEARCH("Price",K5)))</formula>
    </cfRule>
    <cfRule type="expression" dxfId="193" priority="63">
      <formula>IF($B5="Thailand",1,0)</formula>
    </cfRule>
    <cfRule type="expression" dxfId="192" priority="64">
      <formula>IF($B5="Sweden",1,0)</formula>
    </cfRule>
    <cfRule type="expression" dxfId="191" priority="65">
      <formula>IF($B5="South Korea",1,0)</formula>
    </cfRule>
    <cfRule type="expression" dxfId="190" priority="66">
      <formula>IF($B5="Singapore",1,0)</formula>
    </cfRule>
    <cfRule type="expression" dxfId="189" priority="67">
      <formula>IF($B5="Poland",1,0)</formula>
    </cfRule>
    <cfRule type="expression" dxfId="188" priority="68">
      <formula>IF($B5="Japan",1,0)</formula>
    </cfRule>
    <cfRule type="expression" dxfId="187" priority="69">
      <formula>IF($B5="Denmark",1,0)</formula>
    </cfRule>
    <cfRule type="expression" dxfId="186" priority="70">
      <formula>IF($B5="Canada",1,0)</formula>
    </cfRule>
    <cfRule type="expression" dxfId="185" priority="71">
      <formula>IF($B5="Brazil",1,0)</formula>
    </cfRule>
    <cfRule type="expression" dxfId="184" priority="72">
      <formula>IF(OR($B5="Belgium",$B5="Germany",$B5="Netherlands"),1,0)</formula>
    </cfRule>
    <cfRule type="expression" dxfId="183" priority="73">
      <formula>IF($B5="UK",1,0)</formula>
    </cfRule>
    <cfRule type="expression" dxfId="182" priority="74">
      <formula>IF($B5="Select Market",1,0)</formula>
    </cfRule>
    <cfRule type="expression" dxfId="181" priority="75">
      <formula>IF($B5="China",1,0)</formula>
    </cfRule>
  </conditionalFormatting>
  <conditionalFormatting sqref="K7:K9">
    <cfRule type="containsBlanks" dxfId="180" priority="120">
      <formula>LEN(TRIM(K7))=0</formula>
    </cfRule>
    <cfRule type="containsText" dxfId="179" priority="121" operator="containsText" text="Price">
      <formula>NOT(ISERROR(SEARCH("Price",K7)))</formula>
    </cfRule>
  </conditionalFormatting>
  <conditionalFormatting sqref="L5:L9">
    <cfRule type="containsBlanks" dxfId="178" priority="427">
      <formula>LEN(TRIM(L5))=0</formula>
    </cfRule>
    <cfRule type="containsText" dxfId="177" priority="428" operator="containsText" text="Name">
      <formula>NOT(ISERROR(SEARCH("Name",L5)))</formula>
    </cfRule>
  </conditionalFormatting>
  <conditionalFormatting sqref="M5:M9">
    <cfRule type="containsBlanks" dxfId="176" priority="2">
      <formula>LEN(TRIM(M5))=0</formula>
    </cfRule>
    <cfRule type="containsText" dxfId="175" priority="3" operator="containsText" text="Price">
      <formula>NOT(ISERROR(SEARCH("Price",M5)))</formula>
    </cfRule>
  </conditionalFormatting>
  <conditionalFormatting sqref="M5:N9">
    <cfRule type="expression" dxfId="174" priority="4">
      <formula>IF($B5="Thailand",1,0)</formula>
    </cfRule>
    <cfRule type="expression" dxfId="173" priority="5">
      <formula>IF($B5="Sweden",1,0)</formula>
    </cfRule>
    <cfRule type="expression" dxfId="172" priority="6">
      <formula>IF($B5="South Korea",1,0)</formula>
    </cfRule>
    <cfRule type="expression" dxfId="171" priority="7">
      <formula>IF($B5="Singapore",1,0)</formula>
    </cfRule>
    <cfRule type="expression" dxfId="170" priority="8">
      <formula>IF($B5="Poland",1,0)</formula>
    </cfRule>
    <cfRule type="expression" dxfId="169" priority="9">
      <formula>IF($B5="Japan",1,0)</formula>
    </cfRule>
    <cfRule type="expression" dxfId="168" priority="10">
      <formula>IF($B5="Denmark",1,0)</formula>
    </cfRule>
    <cfRule type="expression" dxfId="167" priority="11">
      <formula>IF($B5="Canada",1,0)</formula>
    </cfRule>
    <cfRule type="expression" dxfId="166" priority="12">
      <formula>IF($B5="Brazil",1,0)</formula>
    </cfRule>
    <cfRule type="expression" dxfId="165" priority="13">
      <formula>IF(OR($B5="Belgium",$B5="Germany",$B5="Netherlands"),1,0)</formula>
    </cfRule>
    <cfRule type="expression" dxfId="164" priority="14">
      <formula>IF($B5="UK",1,0)</formula>
    </cfRule>
    <cfRule type="expression" dxfId="163" priority="15">
      <formula>IF($B5="Select Market",1,0)</formula>
    </cfRule>
    <cfRule type="expression" dxfId="162" priority="16">
      <formula>IF($B5="China",1,0)</formula>
    </cfRule>
  </conditionalFormatting>
  <conditionalFormatting sqref="N5:N9">
    <cfRule type="cellIs" dxfId="161" priority="31" operator="equal">
      <formula>0</formula>
    </cfRule>
  </conditionalFormatting>
  <hyperlinks>
    <hyperlink ref="A2" location="'Wine Offer Template'!A1" display="Return to Wine Offer Template" xr:uid="{4175A13C-7E51-9E4D-9531-1869DBB57E80}"/>
    <hyperlink ref="A1:C1" location="Home!A1" display="Return Home" xr:uid="{F0034E38-CB5D-3249-9ACF-91B5F18BA52A}"/>
    <hyperlink ref="A2:C2" location="'Net Revenue'!A1" display="Go to Net Revenue" xr:uid="{2A2025CF-A8ED-5446-AF9B-2932E7300A9D}"/>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02148-3D1D-2A42-BF12-FF3B9CDA9970}">
  <sheetPr codeName="Sheet9"/>
  <dimension ref="B4:D68"/>
  <sheetViews>
    <sheetView workbookViewId="0"/>
  </sheetViews>
  <sheetFormatPr defaultColWidth="11" defaultRowHeight="15.5"/>
  <cols>
    <col min="2" max="2" width="22.9140625" bestFit="1" customWidth="1"/>
    <col min="3" max="3" width="11.75" bestFit="1" customWidth="1"/>
    <col min="4" max="4" width="13.25" bestFit="1" customWidth="1"/>
  </cols>
  <sheetData>
    <row r="4" spans="2:4" ht="16" thickBot="1"/>
    <row r="5" spans="2:4" ht="16" thickBot="1">
      <c r="B5" s="498" t="s">
        <v>126</v>
      </c>
      <c r="C5" s="498" t="s">
        <v>152</v>
      </c>
      <c r="D5" s="498" t="s">
        <v>153</v>
      </c>
    </row>
    <row r="6" spans="2:4" ht="16" thickBot="1">
      <c r="B6" s="499" t="s">
        <v>84</v>
      </c>
      <c r="C6" s="500">
        <v>0.13728799999999999</v>
      </c>
      <c r="D6" s="500">
        <v>7.2839309999999999</v>
      </c>
    </row>
    <row r="7" spans="2:4" ht="16" thickBot="1">
      <c r="B7" s="499" t="s">
        <v>122</v>
      </c>
      <c r="C7" s="500">
        <v>0.12386800000000001</v>
      </c>
      <c r="D7" s="500">
        <v>8.0731190000000002</v>
      </c>
    </row>
    <row r="8" spans="2:4" ht="16" thickBot="1">
      <c r="B8" s="499" t="s">
        <v>85</v>
      </c>
      <c r="C8" s="500">
        <v>0.104103</v>
      </c>
      <c r="D8" s="500">
        <v>9.6059129999999993</v>
      </c>
    </row>
    <row r="9" spans="2:4" ht="16" thickBot="1">
      <c r="B9" s="499" t="s">
        <v>118</v>
      </c>
      <c r="C9" s="500">
        <v>11.712146000000001</v>
      </c>
      <c r="D9" s="500">
        <v>8.5380999999999999E-2</v>
      </c>
    </row>
    <row r="10" spans="2:4" ht="16" thickBot="1">
      <c r="B10" s="499" t="s">
        <v>135</v>
      </c>
      <c r="C10" s="500">
        <v>0.21632299999999999</v>
      </c>
      <c r="D10" s="500">
        <v>4.6227070000000001</v>
      </c>
    </row>
    <row r="11" spans="2:4" ht="16" thickBot="1">
      <c r="B11" s="499" t="s">
        <v>128</v>
      </c>
      <c r="C11" s="500">
        <v>0.19400000000000001</v>
      </c>
      <c r="D11" s="500">
        <v>5.1546390000000004</v>
      </c>
    </row>
    <row r="12" spans="2:4" ht="16" thickBot="1">
      <c r="B12" s="499" t="s">
        <v>95</v>
      </c>
      <c r="C12" s="500">
        <v>0.18337500000000001</v>
      </c>
      <c r="D12" s="500">
        <v>5.453303</v>
      </c>
    </row>
    <row r="13" spans="2:4" ht="16" thickBot="1">
      <c r="B13" s="499" t="s">
        <v>91</v>
      </c>
      <c r="C13" s="500">
        <v>0.11834699999999999</v>
      </c>
      <c r="D13" s="500">
        <v>8.4496939999999991</v>
      </c>
    </row>
    <row r="14" spans="2:4" ht="16" thickBot="1">
      <c r="B14" s="499" t="s">
        <v>109</v>
      </c>
      <c r="C14" s="500">
        <v>0.609904</v>
      </c>
      <c r="D14" s="500">
        <v>1.639602</v>
      </c>
    </row>
    <row r="15" spans="2:4" ht="16" thickBot="1">
      <c r="B15" s="501" t="s">
        <v>114</v>
      </c>
      <c r="C15" s="502">
        <v>20.118400999999999</v>
      </c>
      <c r="D15" s="502">
        <v>4.9706E-2</v>
      </c>
    </row>
    <row r="16" spans="2:4" ht="16" thickBot="1"/>
    <row r="17" spans="2:4" ht="16" thickBot="1">
      <c r="B17" s="503" t="s">
        <v>126</v>
      </c>
      <c r="C17" s="503" t="s">
        <v>152</v>
      </c>
      <c r="D17" s="503" t="s">
        <v>153</v>
      </c>
    </row>
    <row r="18" spans="2:4" ht="16" thickBot="1">
      <c r="B18" s="504" t="s">
        <v>134</v>
      </c>
      <c r="C18" s="505">
        <v>147.28273100000001</v>
      </c>
      <c r="D18" s="505">
        <v>6.79E-3</v>
      </c>
    </row>
    <row r="19" spans="2:4" ht="16" thickBot="1">
      <c r="B19" s="504" t="s">
        <v>135</v>
      </c>
      <c r="C19" s="505">
        <v>0.21632299999999999</v>
      </c>
      <c r="D19" s="505">
        <v>4.6227070000000001</v>
      </c>
    </row>
    <row r="20" spans="2:4" ht="16" thickBot="1">
      <c r="B20" s="504" t="s">
        <v>133</v>
      </c>
      <c r="C20" s="505">
        <v>5.1619999999999999E-2</v>
      </c>
      <c r="D20" s="505">
        <v>19.372157999999999</v>
      </c>
    </row>
    <row r="21" spans="2:4" ht="16" thickBot="1">
      <c r="B21" s="504" t="s">
        <v>132</v>
      </c>
      <c r="C21" s="505">
        <v>1.8943810000000001</v>
      </c>
      <c r="D21" s="505">
        <v>0.52787700000000004</v>
      </c>
    </row>
    <row r="22" spans="2:4" ht="16" thickBot="1">
      <c r="B22" s="504" t="s">
        <v>131</v>
      </c>
      <c r="C22" s="505">
        <v>0.78224499999999997</v>
      </c>
      <c r="D22" s="505">
        <v>1.2783720000000001</v>
      </c>
    </row>
    <row r="23" spans="2:4" ht="16" thickBot="1">
      <c r="B23" s="504" t="s">
        <v>130</v>
      </c>
      <c r="C23" s="505">
        <v>0.18337500000000001</v>
      </c>
      <c r="D23" s="505">
        <v>5.453303</v>
      </c>
    </row>
    <row r="24" spans="2:4" ht="16" thickBot="1">
      <c r="B24" s="504" t="s">
        <v>129</v>
      </c>
      <c r="C24" s="505">
        <v>0.24226400000000001</v>
      </c>
      <c r="D24" s="505">
        <v>4.1277200000000001</v>
      </c>
    </row>
    <row r="25" spans="2:4" ht="16" thickBot="1">
      <c r="B25" s="504" t="s">
        <v>128</v>
      </c>
      <c r="C25" s="505">
        <v>0.19400000000000001</v>
      </c>
      <c r="D25" s="505">
        <v>5.1546390000000004</v>
      </c>
    </row>
    <row r="26" spans="2:4" ht="16" thickBot="1">
      <c r="B26" s="504" t="s">
        <v>127</v>
      </c>
      <c r="C26" s="505">
        <v>131.08589599999999</v>
      </c>
      <c r="D26" s="505">
        <v>7.6290000000000004E-3</v>
      </c>
    </row>
    <row r="27" spans="2:4" ht="16" thickBot="1">
      <c r="B27" s="504" t="s">
        <v>125</v>
      </c>
      <c r="C27" s="505">
        <v>569.95553299999995</v>
      </c>
      <c r="D27" s="505">
        <v>1.755E-3</v>
      </c>
    </row>
    <row r="28" spans="2:4" ht="16" thickBot="1">
      <c r="B28" s="504" t="s">
        <v>124</v>
      </c>
      <c r="C28" s="505">
        <v>3.0962529999999999</v>
      </c>
      <c r="D28" s="505">
        <v>0.32297100000000001</v>
      </c>
    </row>
    <row r="29" spans="2:4" ht="16" thickBot="1">
      <c r="B29" s="504" t="s">
        <v>123</v>
      </c>
      <c r="C29" s="505">
        <v>0.92420400000000003</v>
      </c>
      <c r="D29" s="505">
        <v>1.082012</v>
      </c>
    </row>
    <row r="30" spans="2:4" ht="16" thickBot="1">
      <c r="B30" s="504" t="s">
        <v>122</v>
      </c>
      <c r="C30" s="505">
        <v>0.12386800000000001</v>
      </c>
      <c r="D30" s="505">
        <v>8.0731190000000002</v>
      </c>
    </row>
    <row r="31" spans="2:4" ht="16" thickBot="1">
      <c r="B31" s="504" t="s">
        <v>121</v>
      </c>
      <c r="C31" s="505">
        <v>1.0677909999999999</v>
      </c>
      <c r="D31" s="505">
        <v>0.93651300000000004</v>
      </c>
    </row>
    <row r="32" spans="2:4" ht="16" thickBot="1">
      <c r="B32" s="504" t="s">
        <v>120</v>
      </c>
      <c r="C32" s="505">
        <v>49.672508000000001</v>
      </c>
      <c r="D32" s="505">
        <v>2.0132000000000001E-2</v>
      </c>
    </row>
    <row r="33" spans="2:4" ht="16" thickBot="1">
      <c r="B33" s="504" t="s">
        <v>119</v>
      </c>
      <c r="C33" s="505">
        <v>17.922666</v>
      </c>
      <c r="D33" s="505">
        <v>5.5794999999999997E-2</v>
      </c>
    </row>
    <row r="34" spans="2:4" ht="16" thickBot="1">
      <c r="B34" s="504" t="s">
        <v>118</v>
      </c>
      <c r="C34" s="505">
        <v>11.712146000000001</v>
      </c>
      <c r="D34" s="505">
        <v>8.5380999999999999E-2</v>
      </c>
    </row>
    <row r="35" spans="2:4" ht="16" thickBot="1">
      <c r="B35" s="504" t="s">
        <v>117</v>
      </c>
      <c r="C35" s="505">
        <v>2295.7903930000002</v>
      </c>
      <c r="D35" s="505">
        <v>4.3600000000000003E-4</v>
      </c>
    </row>
    <row r="36" spans="2:4" ht="16" thickBot="1">
      <c r="B36" s="504" t="s">
        <v>116</v>
      </c>
      <c r="C36" s="505">
        <v>5779.4185189999998</v>
      </c>
      <c r="D36" s="505">
        <v>1.73E-4</v>
      </c>
    </row>
    <row r="37" spans="2:4" ht="16" thickBot="1">
      <c r="B37" s="504" t="s">
        <v>115</v>
      </c>
      <c r="C37" s="505">
        <v>0.50818600000000003</v>
      </c>
      <c r="D37" s="505">
        <v>1.9677849999999999</v>
      </c>
    </row>
    <row r="38" spans="2:4" ht="16" thickBot="1">
      <c r="B38" s="504" t="s">
        <v>114</v>
      </c>
      <c r="C38" s="505">
        <v>20.118400999999999</v>
      </c>
      <c r="D38" s="505">
        <v>4.9706E-2</v>
      </c>
    </row>
    <row r="39" spans="2:4" ht="16" thickBot="1">
      <c r="B39" s="504" t="s">
        <v>113</v>
      </c>
      <c r="C39" s="505">
        <v>68.854956000000001</v>
      </c>
      <c r="D39" s="505">
        <v>1.4522999999999999E-2</v>
      </c>
    </row>
    <row r="40" spans="2:4" ht="16" thickBot="1">
      <c r="B40" s="504" t="s">
        <v>112</v>
      </c>
      <c r="C40" s="505">
        <v>199.88789600000001</v>
      </c>
      <c r="D40" s="505">
        <v>5.0029999999999996E-3</v>
      </c>
    </row>
    <row r="41" spans="2:4" ht="16" thickBot="1">
      <c r="B41" s="504" t="s">
        <v>111</v>
      </c>
      <c r="C41" s="505">
        <v>4.2237999999999998E-2</v>
      </c>
      <c r="D41" s="505">
        <v>23.675338</v>
      </c>
    </row>
    <row r="42" spans="2:4" ht="16" thickBot="1">
      <c r="B42" s="504" t="s">
        <v>110</v>
      </c>
      <c r="C42" s="505">
        <v>0.66277699999999995</v>
      </c>
      <c r="D42" s="505">
        <v>1.508802</v>
      </c>
    </row>
    <row r="43" spans="2:4" ht="16" thickBot="1">
      <c r="B43" s="504" t="s">
        <v>109</v>
      </c>
      <c r="C43" s="505">
        <v>0.609904</v>
      </c>
      <c r="D43" s="505">
        <v>1.639602</v>
      </c>
    </row>
    <row r="44" spans="2:4" ht="16" thickBot="1">
      <c r="B44" s="504" t="s">
        <v>108</v>
      </c>
      <c r="C44" s="505">
        <v>6.2282320000000002</v>
      </c>
      <c r="D44" s="505">
        <v>0.16055900000000001</v>
      </c>
    </row>
    <row r="45" spans="2:4" ht="16" thickBot="1">
      <c r="B45" s="504" t="s">
        <v>107</v>
      </c>
      <c r="C45" s="505">
        <v>2.75244</v>
      </c>
      <c r="D45" s="505">
        <v>0.36331400000000003</v>
      </c>
    </row>
    <row r="46" spans="2:4" ht="16" thickBot="1">
      <c r="B46" s="504" t="s">
        <v>106</v>
      </c>
      <c r="C46" s="505">
        <v>18.748218000000001</v>
      </c>
      <c r="D46" s="505">
        <v>5.3338000000000003E-2</v>
      </c>
    </row>
    <row r="47" spans="2:4" ht="16" thickBot="1">
      <c r="B47" s="504" t="s">
        <v>105</v>
      </c>
      <c r="C47" s="505">
        <v>0.236152</v>
      </c>
      <c r="D47" s="505">
        <v>4.2345569999999997</v>
      </c>
    </row>
    <row r="48" spans="2:4" ht="16" thickBot="1">
      <c r="B48" s="504" t="s">
        <v>104</v>
      </c>
      <c r="C48" s="505">
        <v>1.4084300000000001</v>
      </c>
      <c r="D48" s="505">
        <v>0.71001099999999995</v>
      </c>
    </row>
    <row r="49" spans="2:4" ht="16" thickBot="1">
      <c r="B49" s="504" t="s">
        <v>103</v>
      </c>
      <c r="C49" s="505">
        <v>5.2852000000000003E-2</v>
      </c>
      <c r="D49" s="505">
        <v>18.920732999999998</v>
      </c>
    </row>
    <row r="50" spans="2:4" ht="16" thickBot="1">
      <c r="B50" s="504" t="s">
        <v>102</v>
      </c>
      <c r="C50" s="505">
        <v>38.483871999999998</v>
      </c>
      <c r="D50" s="505">
        <v>2.5985000000000001E-2</v>
      </c>
    </row>
    <row r="51" spans="2:4" ht="16" thickBot="1">
      <c r="B51" s="504" t="s">
        <v>101</v>
      </c>
      <c r="C51" s="505">
        <v>7.8227169999999999</v>
      </c>
      <c r="D51" s="505">
        <v>0.127833</v>
      </c>
    </row>
    <row r="52" spans="2:4" ht="16" thickBot="1">
      <c r="B52" s="504" t="s">
        <v>100</v>
      </c>
      <c r="C52" s="505">
        <v>0.51894499999999999</v>
      </c>
      <c r="D52" s="505">
        <v>1.926987</v>
      </c>
    </row>
    <row r="53" spans="2:4" ht="16" thickBot="1">
      <c r="B53" s="504" t="s">
        <v>99</v>
      </c>
      <c r="C53" s="505">
        <v>0.49973000000000001</v>
      </c>
      <c r="D53" s="505">
        <v>2.00108</v>
      </c>
    </row>
    <row r="54" spans="2:4" ht="16" thickBot="1">
      <c r="B54" s="504" t="s">
        <v>98</v>
      </c>
      <c r="C54" s="505">
        <v>0.61658100000000005</v>
      </c>
      <c r="D54" s="505">
        <v>1.6218459999999999</v>
      </c>
    </row>
    <row r="55" spans="2:4" ht="16" thickBot="1">
      <c r="B55" s="504" t="s">
        <v>97</v>
      </c>
      <c r="C55" s="505">
        <v>11.543786000000001</v>
      </c>
      <c r="D55" s="505">
        <v>8.6626999999999996E-2</v>
      </c>
    </row>
    <row r="56" spans="2:4" ht="16" thickBot="1">
      <c r="B56" s="504" t="s">
        <v>96</v>
      </c>
      <c r="C56" s="505">
        <v>0.51483199999999996</v>
      </c>
      <c r="D56" s="505">
        <v>1.9423820000000001</v>
      </c>
    </row>
    <row r="57" spans="2:4" ht="16" thickBot="1">
      <c r="B57" s="504" t="s">
        <v>95</v>
      </c>
      <c r="C57" s="505">
        <v>0.18337500000000001</v>
      </c>
      <c r="D57" s="505">
        <v>5.453303</v>
      </c>
    </row>
    <row r="58" spans="2:4" ht="16" thickBot="1">
      <c r="B58" s="504" t="s">
        <v>94</v>
      </c>
      <c r="C58" s="505">
        <v>2.5825499999999999</v>
      </c>
      <c r="D58" s="505">
        <v>0.387214</v>
      </c>
    </row>
    <row r="59" spans="2:4" ht="16" thickBot="1">
      <c r="B59" s="504" t="s">
        <v>93</v>
      </c>
      <c r="C59" s="505">
        <v>40.557181</v>
      </c>
      <c r="D59" s="505">
        <v>2.4656999999999998E-2</v>
      </c>
    </row>
    <row r="60" spans="2:4" ht="16" thickBot="1">
      <c r="B60" s="504" t="s">
        <v>92</v>
      </c>
      <c r="C60" s="505">
        <v>1.326122</v>
      </c>
      <c r="D60" s="505">
        <v>0.75407800000000003</v>
      </c>
    </row>
    <row r="61" spans="2:4" ht="16" thickBot="1">
      <c r="B61" s="504" t="s">
        <v>91</v>
      </c>
      <c r="C61" s="505">
        <v>0.11834699999999999</v>
      </c>
      <c r="D61" s="505">
        <v>8.4496939999999991</v>
      </c>
    </row>
    <row r="62" spans="2:4" ht="16" thickBot="1">
      <c r="B62" s="504" t="s">
        <v>90</v>
      </c>
      <c r="C62" s="505">
        <v>4.5516290000000001</v>
      </c>
      <c r="D62" s="505">
        <v>0.21970200000000001</v>
      </c>
    </row>
    <row r="63" spans="2:4" ht="16" thickBot="1">
      <c r="B63" s="504" t="s">
        <v>89</v>
      </c>
      <c r="C63" s="505">
        <v>4.7028350000000003</v>
      </c>
      <c r="D63" s="505">
        <v>0.21263799999999999</v>
      </c>
    </row>
    <row r="64" spans="2:4" ht="16" thickBot="1">
      <c r="B64" s="504" t="s">
        <v>88</v>
      </c>
      <c r="C64" s="505">
        <v>0.92760399999999998</v>
      </c>
      <c r="D64" s="505">
        <v>1.0780460000000001</v>
      </c>
    </row>
    <row r="65" spans="2:4" ht="16" thickBot="1">
      <c r="B65" s="504" t="s">
        <v>87</v>
      </c>
      <c r="C65" s="505">
        <v>5.2094129999999996</v>
      </c>
      <c r="D65" s="505">
        <v>0.19195999999999999</v>
      </c>
    </row>
    <row r="66" spans="2:4" ht="16" thickBot="1">
      <c r="B66" s="504" t="s">
        <v>86</v>
      </c>
      <c r="C66" s="505">
        <v>0.50419199999999997</v>
      </c>
      <c r="D66" s="505">
        <v>1.983371</v>
      </c>
    </row>
    <row r="67" spans="2:4" ht="16" thickBot="1">
      <c r="B67" s="504" t="s">
        <v>85</v>
      </c>
      <c r="C67" s="505">
        <v>0.104103</v>
      </c>
      <c r="D67" s="505">
        <v>9.6059129999999993</v>
      </c>
    </row>
    <row r="68" spans="2:4" ht="16" thickBot="1">
      <c r="B68" s="506" t="s">
        <v>84</v>
      </c>
      <c r="C68" s="505">
        <v>0.13728799999999999</v>
      </c>
      <c r="D68" s="505">
        <v>7.2839309999999999</v>
      </c>
    </row>
  </sheetData>
  <hyperlinks>
    <hyperlink ref="C6" r:id="rId1" display="https://www.x-rates.com/graph/?from=CNY&amp;to=USD" xr:uid="{AF291B61-CD4F-42B3-B42B-B704579975BD}"/>
    <hyperlink ref="D6" r:id="rId2" display="https://www.x-rates.com/graph/?from=USD&amp;to=CNY" xr:uid="{2FD2464A-D419-4668-A8CA-4394FC651A1B}"/>
    <hyperlink ref="C7" r:id="rId3" display="https://www.x-rates.com/graph/?from=CNY&amp;to=EUR" xr:uid="{5CCD8A68-AA3B-42BB-9740-F05772885791}"/>
    <hyperlink ref="D7" r:id="rId4" display="https://www.x-rates.com/graph/?from=EUR&amp;to=CNY" xr:uid="{D15A2021-7D45-410B-952D-70C3663F7612}"/>
    <hyperlink ref="C8" r:id="rId5" display="https://www.x-rates.com/graph/?from=CNY&amp;to=GBP" xr:uid="{01B13F14-3255-4957-8103-FD26B1AC49DD}"/>
    <hyperlink ref="D8" r:id="rId6" display="https://www.x-rates.com/graph/?from=GBP&amp;to=CNY" xr:uid="{6664722E-3060-445A-A93C-BF475A99D964}"/>
    <hyperlink ref="C9" r:id="rId7" display="https://www.x-rates.com/graph/?from=CNY&amp;to=INR" xr:uid="{C5B4D8DF-B6AD-499C-85AD-F5C6532DFEB4}"/>
    <hyperlink ref="D9" r:id="rId8" display="https://www.x-rates.com/graph/?from=INR&amp;to=CNY" xr:uid="{CF583178-9ABF-4DC1-B76F-7791AA148579}"/>
    <hyperlink ref="C10" r:id="rId9" display="https://www.x-rates.com/graph/?from=CNY&amp;to=AUD" xr:uid="{2C83F9E8-D463-4CFD-BA26-498E55E807BB}"/>
    <hyperlink ref="D10" r:id="rId10" display="https://www.x-rates.com/graph/?from=AUD&amp;to=CNY" xr:uid="{C53D5156-9791-4807-B5DA-E7B213077DD5}"/>
    <hyperlink ref="C11" r:id="rId11" display="https://www.x-rates.com/graph/?from=CNY&amp;to=CAD" xr:uid="{37DA637C-2651-4615-8BEA-D3261C4D350A}"/>
    <hyperlink ref="D11" r:id="rId12" display="https://www.x-rates.com/graph/?from=CAD&amp;to=CNY" xr:uid="{2F326A69-ED5F-49F9-BC46-A895B005D262}"/>
    <hyperlink ref="C12" r:id="rId13" display="https://www.x-rates.com/graph/?from=CNY&amp;to=SGD" xr:uid="{F565C0D2-0B21-418A-A8A9-A1AFC0133B1D}"/>
    <hyperlink ref="D12" r:id="rId14" display="https://www.x-rates.com/graph/?from=SGD&amp;to=CNY" xr:uid="{286D4C0D-3297-44BB-A936-81553E975364}"/>
    <hyperlink ref="C13" r:id="rId15" display="https://www.x-rates.com/graph/?from=CNY&amp;to=CHF" xr:uid="{611061E1-1346-478E-BD92-42B2C43FC649}"/>
    <hyperlink ref="D13" r:id="rId16" display="https://www.x-rates.com/graph/?from=CHF&amp;to=CNY" xr:uid="{A03BE1C1-DAA2-4EC5-B70F-70AA25B92564}"/>
    <hyperlink ref="C14" r:id="rId17" display="https://www.x-rates.com/graph/?from=CNY&amp;to=MYR" xr:uid="{AB1C6E4A-8466-41A5-8597-0687D72DF70D}"/>
    <hyperlink ref="D14" r:id="rId18" display="https://www.x-rates.com/graph/?from=MYR&amp;to=CNY" xr:uid="{3CA2D7A4-8FF7-4AFD-B477-6C70A5AFB559}"/>
    <hyperlink ref="C15" r:id="rId19" display="https://www.x-rates.com/graph/?from=CNY&amp;to=JPY" xr:uid="{2940FE3C-D3E3-4B57-B646-4CA02BC69989}"/>
    <hyperlink ref="D15" r:id="rId20" display="https://www.x-rates.com/graph/?from=JPY&amp;to=CNY" xr:uid="{5401F961-597A-4953-A4FE-22B2555C6A31}"/>
    <hyperlink ref="C18" r:id="rId21" display="https://www.x-rates.com/graph/?from=CNY&amp;to=ARS" xr:uid="{FF686F22-9731-47C7-9737-ECF0156CBB77}"/>
    <hyperlink ref="D18" r:id="rId22" display="https://www.x-rates.com/graph/?from=ARS&amp;to=CNY" xr:uid="{B4A367EF-535A-417A-AB58-8E0F11B528C3}"/>
    <hyperlink ref="C19" r:id="rId23" display="https://www.x-rates.com/graph/?from=CNY&amp;to=AUD" xr:uid="{64A8EBF1-9D6D-4762-92CB-9F16568C9683}"/>
    <hyperlink ref="D19" r:id="rId24" display="https://www.x-rates.com/graph/?from=AUD&amp;to=CNY" xr:uid="{7CB3C440-A9D3-45A2-A336-6FA07F9644D5}"/>
    <hyperlink ref="C20" r:id="rId25" display="https://www.x-rates.com/graph/?from=CNY&amp;to=BHD" xr:uid="{1C29199B-06B8-4D13-AB2A-EF4795D8805A}"/>
    <hyperlink ref="D20" r:id="rId26" display="https://www.x-rates.com/graph/?from=BHD&amp;to=CNY" xr:uid="{E74014FC-1C8E-4A3C-82EB-A7E313C5EBCD}"/>
    <hyperlink ref="C21" r:id="rId27" display="https://www.x-rates.com/graph/?from=CNY&amp;to=BWP" xr:uid="{CEA2EDAA-93B9-4744-8FB1-FC7B259136A8}"/>
    <hyperlink ref="D21" r:id="rId28" display="https://www.x-rates.com/graph/?from=BWP&amp;to=CNY" xr:uid="{97A639BD-4CE5-465D-BDFC-874C2B41B2C5}"/>
    <hyperlink ref="C22" r:id="rId29" display="https://www.x-rates.com/graph/?from=CNY&amp;to=BRL" xr:uid="{3D577675-5B5D-40DD-AF25-57E43941CAF3}"/>
    <hyperlink ref="D22" r:id="rId30" display="https://www.x-rates.com/graph/?from=BRL&amp;to=CNY" xr:uid="{B1AD7D0E-A375-4AC7-9647-B82E70FFC0A1}"/>
    <hyperlink ref="C23" r:id="rId31" display="https://www.x-rates.com/graph/?from=CNY&amp;to=BND" xr:uid="{3D047BF7-2BFC-43C8-ADE7-1D5D04ED4BF7}"/>
    <hyperlink ref="D23" r:id="rId32" display="https://www.x-rates.com/graph/?from=BND&amp;to=CNY" xr:uid="{5392AA36-4F76-4339-B919-40CFC360C7E8}"/>
    <hyperlink ref="C24" r:id="rId33" display="https://www.x-rates.com/graph/?from=CNY&amp;to=BGN" xr:uid="{F8D2405A-7075-4BB1-9FFE-209F9D85080A}"/>
    <hyperlink ref="D24" r:id="rId34" display="https://www.x-rates.com/graph/?from=BGN&amp;to=CNY" xr:uid="{C9D6AFAE-F682-4DC0-82B6-4A881AB62099}"/>
    <hyperlink ref="C25" r:id="rId35" display="https://www.x-rates.com/graph/?from=CNY&amp;to=CAD" xr:uid="{265DD891-7090-406C-A455-79F79A412932}"/>
    <hyperlink ref="D25" r:id="rId36" display="https://www.x-rates.com/graph/?from=CAD&amp;to=CNY" xr:uid="{2A19F310-36BA-4560-84A4-94282C70B13A}"/>
    <hyperlink ref="C26" r:id="rId37" display="https://www.x-rates.com/graph/?from=CNY&amp;to=CLP" xr:uid="{284BCD87-3820-4A9C-BF5D-A0518EA68FA1}"/>
    <hyperlink ref="D26" r:id="rId38" display="https://www.x-rates.com/graph/?from=CLP&amp;to=CNY" xr:uid="{A40BFCC3-6F8B-4861-8FB9-30BEA7E5547C}"/>
    <hyperlink ref="C27" r:id="rId39" display="https://www.x-rates.com/graph/?from=CNY&amp;to=COP" xr:uid="{0CE3FABF-08B0-4E5E-B6A5-0BED92289E15}"/>
    <hyperlink ref="D27" r:id="rId40" display="https://www.x-rates.com/graph/?from=COP&amp;to=CNY" xr:uid="{B09DB936-2738-4E8E-8306-B38375923DFF}"/>
    <hyperlink ref="C28" r:id="rId41" display="https://www.x-rates.com/graph/?from=CNY&amp;to=CZK" xr:uid="{10D4BFE3-7361-4279-9009-A3717155B01A}"/>
    <hyperlink ref="D28" r:id="rId42" display="https://www.x-rates.com/graph/?from=CZK&amp;to=CNY" xr:uid="{1ABF3F68-105D-4843-8362-4FEDF8E75D8F}"/>
    <hyperlink ref="C29" r:id="rId43" display="https://www.x-rates.com/graph/?from=CNY&amp;to=DKK" xr:uid="{8BC8F0DA-29E0-4C0B-84A0-39F5823A791F}"/>
    <hyperlink ref="D29" r:id="rId44" display="https://www.x-rates.com/graph/?from=DKK&amp;to=CNY" xr:uid="{1CC698C6-B88D-453C-BD14-34BBA2C865D0}"/>
    <hyperlink ref="C30" r:id="rId45" display="https://www.x-rates.com/graph/?from=CNY&amp;to=EUR" xr:uid="{CC05346A-5207-497F-94E8-23240D6725A3}"/>
    <hyperlink ref="D30" r:id="rId46" display="https://www.x-rates.com/graph/?from=EUR&amp;to=CNY" xr:uid="{B11D2460-FF92-49E8-8B74-A1F0E7BB24DB}"/>
    <hyperlink ref="C31" r:id="rId47" display="https://www.x-rates.com/graph/?from=CNY&amp;to=HKD" xr:uid="{F8A6EE01-5BD5-45CB-809D-D8276FFF77B3}"/>
    <hyperlink ref="D31" r:id="rId48" display="https://www.x-rates.com/graph/?from=HKD&amp;to=CNY" xr:uid="{C55E2636-E1D7-428C-8FF4-7378835E6F8A}"/>
    <hyperlink ref="C32" r:id="rId49" display="https://www.x-rates.com/graph/?from=CNY&amp;to=HUF" xr:uid="{AD0E7826-3E92-40D3-80A8-BB423ECA551F}"/>
    <hyperlink ref="D32" r:id="rId50" display="https://www.x-rates.com/graph/?from=HUF&amp;to=CNY" xr:uid="{F0008817-09CF-4D44-817F-FFB7E0655FCB}"/>
    <hyperlink ref="C33" r:id="rId51" display="https://www.x-rates.com/graph/?from=CNY&amp;to=ISK" xr:uid="{C5185CB1-F93C-428C-B6DD-70FEDF1E4762}"/>
    <hyperlink ref="D33" r:id="rId52" display="https://www.x-rates.com/graph/?from=ISK&amp;to=CNY" xr:uid="{996DF565-B22E-4979-A23E-F9030D7AF04C}"/>
    <hyperlink ref="C34" r:id="rId53" display="https://www.x-rates.com/graph/?from=CNY&amp;to=INR" xr:uid="{B05243DC-438B-4C93-B6E7-19C5EFD54330}"/>
    <hyperlink ref="D34" r:id="rId54" display="https://www.x-rates.com/graph/?from=INR&amp;to=CNY" xr:uid="{51B6F1BD-5CAE-4AFB-BDEE-A509C3ECC700}"/>
    <hyperlink ref="C35" r:id="rId55" display="https://www.x-rates.com/graph/?from=CNY&amp;to=IDR" xr:uid="{1C6A9396-CBED-445D-972A-3D1D509AD462}"/>
    <hyperlink ref="D35" r:id="rId56" display="https://www.x-rates.com/graph/?from=IDR&amp;to=CNY" xr:uid="{86FBA02C-CA85-4D1E-AD9F-A50C6682BC5C}"/>
    <hyperlink ref="C36" r:id="rId57" display="https://www.x-rates.com/graph/?from=CNY&amp;to=IRR" xr:uid="{517A975B-640F-40DD-B03F-345212BD5699}"/>
    <hyperlink ref="D36" r:id="rId58" display="https://www.x-rates.com/graph/?from=IRR&amp;to=CNY" xr:uid="{26342B37-9FB2-4EDC-AAE5-398783F14FC8}"/>
    <hyperlink ref="C37" r:id="rId59" display="https://www.x-rates.com/graph/?from=CNY&amp;to=ILS" xr:uid="{2D2C3B1D-7F37-4328-A395-05470A729235}"/>
    <hyperlink ref="D37" r:id="rId60" display="https://www.x-rates.com/graph/?from=ILS&amp;to=CNY" xr:uid="{C04E7A2E-A596-42AF-9E04-9C7956628062}"/>
    <hyperlink ref="C38" r:id="rId61" display="https://www.x-rates.com/graph/?from=CNY&amp;to=JPY" xr:uid="{F78D222B-FF83-4A38-898D-0A1679383FFD}"/>
    <hyperlink ref="D38" r:id="rId62" display="https://www.x-rates.com/graph/?from=JPY&amp;to=CNY" xr:uid="{0E0A8904-789F-4AB0-8A91-9AB19D5C7464}"/>
    <hyperlink ref="C39" r:id="rId63" display="https://www.x-rates.com/graph/?from=CNY&amp;to=KZT" xr:uid="{F1BFD9CE-F0B9-445A-B05D-C0B3B456931C}"/>
    <hyperlink ref="D39" r:id="rId64" display="https://www.x-rates.com/graph/?from=KZT&amp;to=CNY" xr:uid="{F294ECA1-BB6F-4AE3-A122-0F0ABA2FF254}"/>
    <hyperlink ref="C40" r:id="rId65" display="https://www.x-rates.com/graph/?from=CNY&amp;to=KRW" xr:uid="{5055E370-42EC-497C-A06E-7CCEB32D0026}"/>
    <hyperlink ref="D40" r:id="rId66" display="https://www.x-rates.com/graph/?from=KRW&amp;to=CNY" xr:uid="{90D79CAC-6E1E-4DE8-8CEE-E3AD8B7E10FE}"/>
    <hyperlink ref="C41" r:id="rId67" display="https://www.x-rates.com/graph/?from=CNY&amp;to=KWD" xr:uid="{07BDBDC3-0511-4A1D-9160-0B2ECC1E31CC}"/>
    <hyperlink ref="D41" r:id="rId68" display="https://www.x-rates.com/graph/?from=KWD&amp;to=CNY" xr:uid="{29935535-B726-43B7-8D9B-5683D7392F02}"/>
    <hyperlink ref="C42" r:id="rId69" display="https://www.x-rates.com/graph/?from=CNY&amp;to=LYD" xr:uid="{5953B6A6-6C87-4F2B-9E32-BC3FDA64F137}"/>
    <hyperlink ref="D42" r:id="rId70" display="https://www.x-rates.com/graph/?from=LYD&amp;to=CNY" xr:uid="{E5D3D842-EEE4-46AB-8F54-7DDE428813DD}"/>
    <hyperlink ref="C43" r:id="rId71" display="https://www.x-rates.com/graph/?from=CNY&amp;to=MYR" xr:uid="{4F142214-AC6E-46B4-8FCF-0095BBA1E857}"/>
    <hyperlink ref="D43" r:id="rId72" display="https://www.x-rates.com/graph/?from=MYR&amp;to=CNY" xr:uid="{DD0DC160-EF9D-4DB2-A9CE-4A3BFE8D1F48}"/>
    <hyperlink ref="C44" r:id="rId73" display="https://www.x-rates.com/graph/?from=CNY&amp;to=MUR" xr:uid="{E7F3EFAD-D2E9-49DF-BF7A-24BE42D7F90C}"/>
    <hyperlink ref="D44" r:id="rId74" display="https://www.x-rates.com/graph/?from=MUR&amp;to=CNY" xr:uid="{2D58926F-C052-4661-BFA2-66486F3473E8}"/>
    <hyperlink ref="C45" r:id="rId75" display="https://www.x-rates.com/graph/?from=CNY&amp;to=MXN" xr:uid="{ECF02BCF-AE50-49FD-A1B0-072D92208541}"/>
    <hyperlink ref="D45" r:id="rId76" display="https://www.x-rates.com/graph/?from=MXN&amp;to=CNY" xr:uid="{93C8BB47-66AE-4A9F-B3AF-4A981016F776}"/>
    <hyperlink ref="C46" r:id="rId77" display="https://www.x-rates.com/graph/?from=CNY&amp;to=NPR" xr:uid="{4C1272EF-A72D-4482-AD5B-72674B3FE133}"/>
    <hyperlink ref="D46" r:id="rId78" display="https://www.x-rates.com/graph/?from=NPR&amp;to=CNY" xr:uid="{0F892767-306D-4C7B-8308-EF7AAD0C625F}"/>
    <hyperlink ref="C47" r:id="rId79" display="https://www.x-rates.com/graph/?from=CNY&amp;to=NZD" xr:uid="{89816F7B-1477-4680-87EA-73F73A0105BD}"/>
    <hyperlink ref="D47" r:id="rId80" display="https://www.x-rates.com/graph/?from=NZD&amp;to=CNY" xr:uid="{0F5BC9EE-FD0F-428B-B928-6E98E525317F}"/>
    <hyperlink ref="C48" r:id="rId81" display="https://www.x-rates.com/graph/?from=CNY&amp;to=NOK" xr:uid="{A74ED731-DBFC-45D1-8E76-3E9F46DF0432}"/>
    <hyperlink ref="D48" r:id="rId82" display="https://www.x-rates.com/graph/?from=NOK&amp;to=CNY" xr:uid="{8822F380-F220-4E3E-A2C9-005407487BFC}"/>
    <hyperlink ref="C49" r:id="rId83" display="https://www.x-rates.com/graph/?from=CNY&amp;to=OMR" xr:uid="{2C2680F9-34B4-4A54-9BA2-4403D91F64DA}"/>
    <hyperlink ref="D49" r:id="rId84" display="https://www.x-rates.com/graph/?from=OMR&amp;to=CNY" xr:uid="{285A016D-D92B-4033-A406-4F4255ABC22A}"/>
    <hyperlink ref="C50" r:id="rId85" display="https://www.x-rates.com/graph/?from=CNY&amp;to=PKR" xr:uid="{F5FD08C3-61F9-4ACE-96FB-31857B28AD2F}"/>
    <hyperlink ref="D50" r:id="rId86" display="https://www.x-rates.com/graph/?from=PKR&amp;to=CNY" xr:uid="{A3755CAC-7267-4A9F-B451-66C9474DF514}"/>
    <hyperlink ref="C51" r:id="rId87" display="https://www.x-rates.com/graph/?from=CNY&amp;to=PHP" xr:uid="{1B27447A-16F7-4532-8F79-ED07CCFFA786}"/>
    <hyperlink ref="D51" r:id="rId88" display="https://www.x-rates.com/graph/?from=PHP&amp;to=CNY" xr:uid="{8496A49B-174E-410B-80E6-91F75901F105}"/>
    <hyperlink ref="C52" r:id="rId89" display="https://www.x-rates.com/graph/?from=CNY&amp;to=PLN" xr:uid="{CC334E8F-939B-4A13-B7FE-9BE5AD2904C2}"/>
    <hyperlink ref="D52" r:id="rId90" display="https://www.x-rates.com/graph/?from=PLN&amp;to=CNY" xr:uid="{64FA52AE-0D88-4996-8E21-5A266B918215}"/>
    <hyperlink ref="C53" r:id="rId91" display="https://www.x-rates.com/graph/?from=CNY&amp;to=QAR" xr:uid="{D20A7932-5A2C-414F-BF47-385FC953311B}"/>
    <hyperlink ref="D53" r:id="rId92" display="https://www.x-rates.com/graph/?from=QAR&amp;to=CNY" xr:uid="{1EEEE730-8662-464F-B3AF-82905F6EE106}"/>
    <hyperlink ref="C54" r:id="rId93" display="https://www.x-rates.com/graph/?from=CNY&amp;to=RON" xr:uid="{E2889FD6-DECD-4E22-9AFA-68782DBECEAF}"/>
    <hyperlink ref="D54" r:id="rId94" display="https://www.x-rates.com/graph/?from=RON&amp;to=CNY" xr:uid="{9D7A964E-28AC-4C7C-9A84-5F0E27273FCD}"/>
    <hyperlink ref="C55" r:id="rId95" display="https://www.x-rates.com/graph/?from=CNY&amp;to=RUB" xr:uid="{A48B87FA-3234-4F11-9D52-C5724FEDE1DA}"/>
    <hyperlink ref="D55" r:id="rId96" display="https://www.x-rates.com/graph/?from=RUB&amp;to=CNY" xr:uid="{10838854-2EB5-4394-A27A-53400ADCB096}"/>
    <hyperlink ref="C56" r:id="rId97" display="https://www.x-rates.com/graph/?from=CNY&amp;to=SAR" xr:uid="{210BED5E-4853-4B45-B57D-960E92710D5E}"/>
    <hyperlink ref="D56" r:id="rId98" display="https://www.x-rates.com/graph/?from=SAR&amp;to=CNY" xr:uid="{FA5FCC65-9305-4522-88E9-505256087123}"/>
    <hyperlink ref="C57" r:id="rId99" display="https://www.x-rates.com/graph/?from=CNY&amp;to=SGD" xr:uid="{B9948BDE-FEFC-4287-BA8D-90CC763CF694}"/>
    <hyperlink ref="D57" r:id="rId100" display="https://www.x-rates.com/graph/?from=SGD&amp;to=CNY" xr:uid="{11A918D1-3198-44BA-A785-39F9FA776CDB}"/>
    <hyperlink ref="C58" r:id="rId101" display="https://www.x-rates.com/graph/?from=CNY&amp;to=ZAR" xr:uid="{66E62078-6FE5-4E37-AA52-41ED852131DA}"/>
    <hyperlink ref="D58" r:id="rId102" display="https://www.x-rates.com/graph/?from=ZAR&amp;to=CNY" xr:uid="{2E4D1B56-DEFC-4CD5-9120-A5F10A140BB2}"/>
    <hyperlink ref="C59" r:id="rId103" display="https://www.x-rates.com/graph/?from=CNY&amp;to=LKR" xr:uid="{1159B17C-FC08-43E7-AF8B-C74B0F53A14F}"/>
    <hyperlink ref="D59" r:id="rId104" display="https://www.x-rates.com/graph/?from=LKR&amp;to=CNY" xr:uid="{1F1B6BE6-07A3-4643-B61F-3AE9ADBBFC83}"/>
    <hyperlink ref="C60" r:id="rId105" display="https://www.x-rates.com/graph/?from=CNY&amp;to=SEK" xr:uid="{85C62E58-CA6B-4942-AB16-D7A684BFB68F}"/>
    <hyperlink ref="D60" r:id="rId106" display="https://www.x-rates.com/graph/?from=SEK&amp;to=CNY" xr:uid="{A6C7D835-5740-4DD2-8C79-3E36AD2D1F02}"/>
    <hyperlink ref="C61" r:id="rId107" display="https://www.x-rates.com/graph/?from=CNY&amp;to=CHF" xr:uid="{2FD73715-D474-4FF5-823E-ACAF16855FFC}"/>
    <hyperlink ref="D61" r:id="rId108" display="https://www.x-rates.com/graph/?from=CHF&amp;to=CNY" xr:uid="{DD946B72-E345-4321-ABBE-C77F3BC27891}"/>
    <hyperlink ref="C62" r:id="rId109" display="https://www.x-rates.com/graph/?from=CNY&amp;to=TWD" xr:uid="{DDC01DC7-DE57-430A-8758-6A39009EA778}"/>
    <hyperlink ref="D62" r:id="rId110" display="https://www.x-rates.com/graph/?from=TWD&amp;to=CNY" xr:uid="{D4EFB510-0760-432C-9B85-69815A0021E6}"/>
    <hyperlink ref="C63" r:id="rId111" display="https://www.x-rates.com/graph/?from=CNY&amp;to=THB" xr:uid="{E527784C-BF38-4656-86B0-3E877803203F}"/>
    <hyperlink ref="D63" r:id="rId112" display="https://www.x-rates.com/graph/?from=THB&amp;to=CNY" xr:uid="{EF9BBE0F-02BC-4335-A977-DDCA36537FB0}"/>
    <hyperlink ref="C64" r:id="rId113" display="https://www.x-rates.com/graph/?from=CNY&amp;to=TTD" xr:uid="{F9C1B222-E8F8-47F9-90F3-2178FB233A5D}"/>
    <hyperlink ref="D64" r:id="rId114" display="https://www.x-rates.com/graph/?from=TTD&amp;to=CNY" xr:uid="{11667082-0F69-4DC1-8B23-D979D835AAC2}"/>
    <hyperlink ref="C65" r:id="rId115" display="https://www.x-rates.com/graph/?from=CNY&amp;to=TRY" xr:uid="{28C450D4-5859-4D08-AC2E-FAC026215418}"/>
    <hyperlink ref="D65" r:id="rId116" display="https://www.x-rates.com/graph/?from=TRY&amp;to=CNY" xr:uid="{CDFF3153-9B30-493D-BA33-227B9B567D2E}"/>
    <hyperlink ref="C66" r:id="rId117" display="https://www.x-rates.com/graph/?from=CNY&amp;to=AED" xr:uid="{9046D857-45C1-483D-AA6B-EB67F7CDEA2C}"/>
    <hyperlink ref="D66" r:id="rId118" display="https://www.x-rates.com/graph/?from=AED&amp;to=CNY" xr:uid="{2170BB06-C331-4F16-BA79-FB58B4F75269}"/>
    <hyperlink ref="C67" r:id="rId119" display="https://www.x-rates.com/graph/?from=CNY&amp;to=GBP" xr:uid="{E96EA378-490B-4D28-8495-7356EB14ACFB}"/>
    <hyperlink ref="D67" r:id="rId120" display="https://www.x-rates.com/graph/?from=GBP&amp;to=CNY" xr:uid="{B282D35B-659C-440D-BF11-F5549A63AD45}"/>
    <hyperlink ref="C68" r:id="rId121" display="https://www.x-rates.com/graph/?from=CNY&amp;to=USD" xr:uid="{3033689B-A7CA-4554-93E4-D0580D9A9146}"/>
    <hyperlink ref="D68" r:id="rId122" display="https://www.x-rates.com/graph/?from=USD&amp;to=CNY" xr:uid="{BD732B6C-9EE1-4170-8F19-4AF04C625C9D}"/>
  </hyperlinks>
  <pageMargins left="0.7" right="0.7" top="0.75" bottom="0.75" header="0.3" footer="0.3"/>
  <pageSetup paperSize="9" orientation="portrait" r:id="rId12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01F98-1256-B348-B24B-1F36A7E4B434}">
  <sheetPr codeName="Sheet4">
    <tabColor theme="9"/>
  </sheetPr>
  <dimension ref="A1:R132"/>
  <sheetViews>
    <sheetView topLeftCell="A2" zoomScale="80" zoomScaleNormal="80" workbookViewId="0">
      <selection activeCell="Q11" sqref="Q11:Q15"/>
    </sheetView>
  </sheetViews>
  <sheetFormatPr defaultColWidth="10.83203125" defaultRowHeight="15.5"/>
  <cols>
    <col min="1" max="1" width="8.33203125" style="2" customWidth="1"/>
    <col min="2" max="2" width="26.83203125" style="2" bestFit="1" customWidth="1"/>
    <col min="3" max="3" width="27.83203125" style="2" customWidth="1"/>
    <col min="4" max="4" width="27.08203125" style="2" customWidth="1"/>
    <col min="5" max="5" width="15.5" style="2" bestFit="1" customWidth="1"/>
    <col min="6" max="6" width="5" style="2" customWidth="1"/>
    <col min="7" max="7" width="9" style="2" customWidth="1"/>
    <col min="8" max="8" width="19" style="2" customWidth="1"/>
    <col min="9" max="9" width="13" style="2" customWidth="1"/>
    <col min="10" max="12" width="26.5" style="2" customWidth="1"/>
    <col min="13" max="13" width="10.83203125" style="2"/>
    <col min="14" max="14" width="24.58203125" style="2" customWidth="1"/>
    <col min="15" max="15" width="10.83203125" style="2"/>
    <col min="16" max="16" width="17" style="2" customWidth="1"/>
    <col min="17" max="17" width="10.83203125" style="2"/>
    <col min="18" max="18" width="38.5" style="2" customWidth="1"/>
    <col min="19" max="16384" width="10.83203125" style="2"/>
  </cols>
  <sheetData>
    <row r="1" spans="1:18" s="3" customFormat="1" ht="37" customHeight="1">
      <c r="A1" s="852" t="s">
        <v>234</v>
      </c>
      <c r="B1" s="852"/>
      <c r="C1" s="852"/>
    </row>
    <row r="2" spans="1:18" s="3" customFormat="1" ht="37" customHeight="1">
      <c r="A2" s="851" t="s">
        <v>206</v>
      </c>
      <c r="B2" s="851"/>
      <c r="C2" s="851"/>
    </row>
    <row r="3" spans="1:18" s="3" customFormat="1" ht="20">
      <c r="A3" s="106"/>
      <c r="B3" s="106"/>
      <c r="C3" s="106"/>
    </row>
    <row r="4" spans="1:18" ht="28">
      <c r="B4" s="57" t="s">
        <v>151</v>
      </c>
      <c r="C4" s="57"/>
      <c r="D4" s="57"/>
      <c r="E4" s="57"/>
      <c r="F4" s="57"/>
      <c r="G4" s="58"/>
      <c r="H4" s="57" t="s">
        <v>37</v>
      </c>
      <c r="I4" s="57"/>
      <c r="J4" s="57" t="s">
        <v>220</v>
      </c>
      <c r="K4" s="57"/>
      <c r="L4" s="57"/>
      <c r="N4" s="868" t="s">
        <v>188</v>
      </c>
      <c r="O4" s="868"/>
      <c r="P4" s="868"/>
      <c r="Q4" s="868"/>
      <c r="R4" s="868"/>
    </row>
    <row r="5" spans="1:18" ht="28">
      <c r="B5" s="57"/>
      <c r="C5" s="57"/>
      <c r="D5" s="57"/>
      <c r="E5" s="57"/>
      <c r="F5" s="57"/>
      <c r="G5" s="58"/>
      <c r="H5" s="57"/>
      <c r="I5" s="57"/>
      <c r="J5" s="57" t="s">
        <v>589</v>
      </c>
      <c r="K5" s="57" t="s">
        <v>590</v>
      </c>
      <c r="L5" s="57" t="s">
        <v>591</v>
      </c>
      <c r="N5" s="868"/>
      <c r="O5" s="868"/>
      <c r="P5" s="868"/>
      <c r="Q5" s="868"/>
      <c r="R5" s="868"/>
    </row>
    <row r="6" spans="1:18" ht="28">
      <c r="B6" s="59"/>
      <c r="C6" s="59"/>
      <c r="D6" s="59"/>
      <c r="E6" s="59"/>
      <c r="F6" s="59"/>
      <c r="G6" s="59"/>
      <c r="H6" s="59"/>
      <c r="I6" s="59"/>
      <c r="J6" s="59"/>
      <c r="K6" s="59"/>
      <c r="L6" s="59"/>
      <c r="N6" s="869" t="s">
        <v>189</v>
      </c>
      <c r="O6" s="869"/>
      <c r="P6" s="869"/>
      <c r="Q6" s="869"/>
      <c r="R6" s="869"/>
    </row>
    <row r="7" spans="1:18" ht="28">
      <c r="B7" s="59"/>
      <c r="C7" s="59"/>
      <c r="D7" s="59"/>
      <c r="E7" s="59"/>
      <c r="F7" s="59"/>
      <c r="G7" s="59"/>
      <c r="H7" s="60" t="s">
        <v>523</v>
      </c>
      <c r="I7" s="56"/>
      <c r="J7" s="43">
        <f t="shared" ref="J7:L9" si="0">J13+J19+J25+J31+J37+J43+J49+J55+J61+J67+J73+J79+J85+J91+J97+J103+J109+J115+J121+J127</f>
        <v>0</v>
      </c>
      <c r="K7" s="43">
        <f t="shared" si="0"/>
        <v>0</v>
      </c>
      <c r="L7" s="43">
        <f t="shared" si="0"/>
        <v>0</v>
      </c>
      <c r="N7" s="869"/>
      <c r="O7" s="869"/>
      <c r="P7" s="869"/>
      <c r="Q7" s="869"/>
      <c r="R7" s="869"/>
    </row>
    <row r="8" spans="1:18" ht="28">
      <c r="B8" s="59"/>
      <c r="C8" s="59"/>
      <c r="D8" s="59"/>
      <c r="E8" s="59"/>
      <c r="F8" s="59"/>
      <c r="G8" s="59"/>
      <c r="H8" s="60" t="s">
        <v>44</v>
      </c>
      <c r="I8" s="56"/>
      <c r="J8" s="32">
        <f t="shared" si="0"/>
        <v>0</v>
      </c>
      <c r="K8" s="32">
        <f t="shared" si="0"/>
        <v>0</v>
      </c>
      <c r="L8" s="32">
        <f t="shared" si="0"/>
        <v>0</v>
      </c>
      <c r="N8" s="869"/>
      <c r="O8" s="869"/>
      <c r="P8" s="869"/>
      <c r="Q8" s="869"/>
      <c r="R8" s="869"/>
    </row>
    <row r="9" spans="1:18" ht="28">
      <c r="B9" s="59"/>
      <c r="C9" s="59"/>
      <c r="D9" s="59"/>
      <c r="E9" s="59"/>
      <c r="F9" s="59"/>
      <c r="G9" s="59"/>
      <c r="H9" s="60" t="s">
        <v>508</v>
      </c>
      <c r="I9" s="56"/>
      <c r="J9" s="32">
        <f t="shared" si="0"/>
        <v>0</v>
      </c>
      <c r="K9" s="32">
        <f t="shared" si="0"/>
        <v>0</v>
      </c>
      <c r="L9" s="32">
        <f t="shared" si="0"/>
        <v>0</v>
      </c>
      <c r="N9" s="865" t="s">
        <v>190</v>
      </c>
      <c r="O9" s="865"/>
      <c r="P9" s="114" t="s">
        <v>191</v>
      </c>
      <c r="Q9" s="114"/>
      <c r="R9" s="115" t="s">
        <v>192</v>
      </c>
    </row>
    <row r="10" spans="1:18" ht="31" customHeight="1">
      <c r="B10" s="61" t="str">
        <f>Home!B10</f>
        <v>Brand</v>
      </c>
      <c r="C10" s="62" t="str">
        <f>Home!C10</f>
        <v>Range</v>
      </c>
      <c r="D10" s="62" t="str">
        <f>Home!D10</f>
        <v>Varietal</v>
      </c>
      <c r="E10" s="62" t="str">
        <f>Home!G10</f>
        <v>Vintage</v>
      </c>
      <c r="F10" s="59"/>
      <c r="G10" s="59"/>
      <c r="H10" s="60" t="s">
        <v>509</v>
      </c>
      <c r="I10" s="56"/>
      <c r="J10" s="63">
        <f>IFERROR((J7-#REF!)/#REF!,0)</f>
        <v>0</v>
      </c>
      <c r="K10" s="63">
        <f>IFERROR(IF((K7-J7)/J7&lt;0,"NEGATIVE GROWTH",(K7-J7)/J7),0)</f>
        <v>0</v>
      </c>
      <c r="L10" s="63">
        <f>IFERROR(IF(0&gt;(L7-K7)/K7,"NEGATIVE GROWTH",(L7-K7)/K7),0)</f>
        <v>0</v>
      </c>
      <c r="N10" s="863" t="s">
        <v>193</v>
      </c>
      <c r="O10" s="863"/>
      <c r="P10" s="114" t="s">
        <v>194</v>
      </c>
      <c r="Q10" s="114"/>
      <c r="R10" s="116" t="s">
        <v>195</v>
      </c>
    </row>
    <row r="11" spans="1:18" ht="8.15" customHeight="1">
      <c r="B11" s="61"/>
      <c r="C11" s="64"/>
      <c r="D11" s="64"/>
      <c r="E11" s="64"/>
      <c r="F11" s="59"/>
      <c r="G11" s="59"/>
      <c r="H11" s="60"/>
      <c r="I11" s="56"/>
      <c r="J11" s="65"/>
      <c r="K11" s="65"/>
      <c r="L11" s="65"/>
      <c r="R11" s="864" t="s">
        <v>196</v>
      </c>
    </row>
    <row r="12" spans="1:18" ht="23.15" customHeight="1">
      <c r="B12" s="21">
        <f>Home!B11</f>
        <v>0</v>
      </c>
      <c r="C12" s="21">
        <f>Home!C11</f>
        <v>0</v>
      </c>
      <c r="D12" s="21" t="str">
        <f>Home!D11</f>
        <v>Lead varietal first</v>
      </c>
      <c r="E12" s="21">
        <f>Home!G11</f>
        <v>0</v>
      </c>
      <c r="F12" s="66"/>
      <c r="G12" s="66"/>
      <c r="H12" s="66"/>
      <c r="I12" s="66"/>
      <c r="J12" s="66"/>
      <c r="K12" s="66"/>
      <c r="L12" s="66"/>
      <c r="N12" s="865" t="s">
        <v>197</v>
      </c>
      <c r="O12" s="865"/>
      <c r="P12" s="866" t="s">
        <v>198</v>
      </c>
      <c r="R12" s="864"/>
    </row>
    <row r="13" spans="1:18" ht="20">
      <c r="B13" s="3" t="s">
        <v>47</v>
      </c>
      <c r="C13" s="54" t="str">
        <f>Home!E21</f>
        <v>Select Market</v>
      </c>
      <c r="H13" s="3" t="s">
        <v>220</v>
      </c>
      <c r="I13" s="3"/>
      <c r="J13" s="43">
        <f>Home!J11</f>
        <v>0</v>
      </c>
      <c r="K13" s="28"/>
      <c r="L13" s="28"/>
      <c r="N13" s="865"/>
      <c r="O13" s="865"/>
      <c r="P13" s="866"/>
      <c r="Q13" s="114"/>
      <c r="R13" s="864"/>
    </row>
    <row r="14" spans="1:18" ht="20">
      <c r="B14" s="3" t="s">
        <v>215</v>
      </c>
      <c r="C14" s="136">
        <f>Home!K11</f>
        <v>0</v>
      </c>
      <c r="F14" s="3"/>
      <c r="G14" s="3"/>
      <c r="H14" s="3" t="s">
        <v>44</v>
      </c>
      <c r="I14" s="3"/>
      <c r="J14" s="32">
        <f>IFERROR(J13*C15,0)</f>
        <v>0</v>
      </c>
      <c r="K14" s="32">
        <f>IFERROR(K13*$C$15,0)</f>
        <v>0</v>
      </c>
      <c r="L14" s="32">
        <f>IFERROR(L13*$C$15,0)</f>
        <v>0</v>
      </c>
      <c r="N14" s="867" t="s">
        <v>199</v>
      </c>
      <c r="O14" s="867"/>
      <c r="P14" s="117" t="s">
        <v>200</v>
      </c>
      <c r="Q14" s="117"/>
      <c r="R14" s="118" t="s">
        <v>201</v>
      </c>
    </row>
    <row r="15" spans="1:18" ht="23.15" customHeight="1">
      <c r="B15" s="3" t="s">
        <v>510</v>
      </c>
      <c r="C15" s="67">
        <f>Home!F21</f>
        <v>0</v>
      </c>
      <c r="E15" s="32"/>
      <c r="F15" s="3"/>
      <c r="G15" s="3"/>
      <c r="H15" s="3" t="s">
        <v>45</v>
      </c>
      <c r="I15" s="3"/>
      <c r="J15" s="68">
        <f>IFERROR(J14*C16,0)</f>
        <v>0</v>
      </c>
      <c r="K15" s="68">
        <f>IFERROR(K14*$C$16,0)</f>
        <v>0</v>
      </c>
      <c r="L15" s="68">
        <f>IFERROR(L14*$C$16,0)</f>
        <v>0</v>
      </c>
      <c r="N15" s="862" t="s">
        <v>202</v>
      </c>
      <c r="O15" s="862"/>
      <c r="P15" s="117" t="s">
        <v>203</v>
      </c>
      <c r="Q15" s="117"/>
      <c r="R15" s="119" t="s">
        <v>204</v>
      </c>
    </row>
    <row r="16" spans="1:18" ht="20">
      <c r="B16" s="3" t="s">
        <v>45</v>
      </c>
      <c r="C16" s="69">
        <f>Home!M11</f>
        <v>0</v>
      </c>
      <c r="E16" s="70"/>
      <c r="F16" s="3"/>
      <c r="G16" s="3"/>
      <c r="H16" s="71" t="s">
        <v>509</v>
      </c>
      <c r="I16" s="3"/>
      <c r="J16" s="72"/>
      <c r="K16" s="63">
        <f>IFERROR(IF((K13-J13)/J13&lt;0,"NEGATIVE GROWTH",(K13-J13)/J13),0)</f>
        <v>0</v>
      </c>
      <c r="L16" s="63">
        <f>IFERROR(IF(0&gt;(L13-K13)/K13,"NEGATIVE GROWTH",(L13-K13)/K13),0)</f>
        <v>0</v>
      </c>
      <c r="N16" s="3" t="s">
        <v>511</v>
      </c>
      <c r="O16" s="3"/>
      <c r="P16" s="54" t="s">
        <v>439</v>
      </c>
      <c r="Q16" s="3"/>
      <c r="R16" s="304" t="s">
        <v>440</v>
      </c>
    </row>
    <row r="17" spans="2:16" ht="20">
      <c r="B17" s="3"/>
      <c r="E17" s="3"/>
      <c r="F17" s="3"/>
      <c r="G17" s="3"/>
      <c r="H17" s="71"/>
      <c r="I17" s="3"/>
      <c r="J17" s="65"/>
      <c r="K17" s="65"/>
      <c r="L17" s="65"/>
    </row>
    <row r="18" spans="2:16" ht="20">
      <c r="B18" s="21">
        <f>Home!B12</f>
        <v>0</v>
      </c>
      <c r="C18" s="21">
        <f>Home!C12</f>
        <v>0</v>
      </c>
      <c r="D18" s="21">
        <f>Home!D12</f>
        <v>0</v>
      </c>
      <c r="E18" s="21">
        <f>Home!G12</f>
        <v>0</v>
      </c>
      <c r="F18" s="3"/>
      <c r="G18" s="3"/>
    </row>
    <row r="19" spans="2:16" ht="20">
      <c r="B19" s="3" t="s">
        <v>47</v>
      </c>
      <c r="C19" s="54" t="str">
        <f>Home!E22</f>
        <v>Select Market</v>
      </c>
      <c r="D19" s="21"/>
      <c r="H19" s="3" t="s">
        <v>220</v>
      </c>
      <c r="I19" s="3"/>
      <c r="J19" s="43">
        <f>Home!J12</f>
        <v>0</v>
      </c>
      <c r="K19" s="28"/>
      <c r="L19" s="28"/>
    </row>
    <row r="20" spans="2:16" ht="20">
      <c r="B20" s="3" t="s">
        <v>215</v>
      </c>
      <c r="C20" s="136">
        <f>Home!K12</f>
        <v>0</v>
      </c>
      <c r="E20" s="32"/>
      <c r="F20" s="3"/>
      <c r="G20" s="3"/>
      <c r="H20" s="3" t="s">
        <v>44</v>
      </c>
      <c r="I20" s="3"/>
      <c r="J20" s="32">
        <f>IFERROR(J19*$C$21,0)</f>
        <v>0</v>
      </c>
      <c r="K20" s="32">
        <f t="shared" ref="K20:L20" si="1">IFERROR(K19*$C$21,0)</f>
        <v>0</v>
      </c>
      <c r="L20" s="32">
        <f t="shared" si="1"/>
        <v>0</v>
      </c>
    </row>
    <row r="21" spans="2:16" ht="20">
      <c r="B21" s="3" t="s">
        <v>510</v>
      </c>
      <c r="C21" s="67">
        <f>Home!F22</f>
        <v>0</v>
      </c>
      <c r="E21" s="70"/>
      <c r="F21" s="3"/>
      <c r="G21" s="3"/>
      <c r="H21" s="3" t="s">
        <v>45</v>
      </c>
      <c r="I21" s="3"/>
      <c r="J21" s="68">
        <f>IFERROR(J20*$C$22,0)</f>
        <v>0</v>
      </c>
      <c r="K21" s="68">
        <f t="shared" ref="K21:L21" si="2">IFERROR(K20*$C$22,0)</f>
        <v>0</v>
      </c>
      <c r="L21" s="68">
        <f t="shared" si="2"/>
        <v>0</v>
      </c>
    </row>
    <row r="22" spans="2:16" ht="20">
      <c r="B22" s="3" t="s">
        <v>45</v>
      </c>
      <c r="C22" s="69">
        <f>Home!M12</f>
        <v>0</v>
      </c>
      <c r="E22" s="3"/>
      <c r="F22" s="3"/>
      <c r="G22" s="3"/>
      <c r="H22" s="71" t="s">
        <v>509</v>
      </c>
      <c r="I22" s="3"/>
      <c r="J22" s="72"/>
      <c r="K22" s="63">
        <f>IFERROR(IF((K19-J19)/J19&lt;0,"NEGATIVE GROWTH",(K19-J19)/J19),0)</f>
        <v>0</v>
      </c>
      <c r="L22" s="63">
        <f>IFERROR(IF(0&gt;(L19-K19)/K19,"NEGATIVE GROWTH",(L19-K19)/K19),0)</f>
        <v>0</v>
      </c>
      <c r="P22" s="177"/>
    </row>
    <row r="23" spans="2:16" ht="20">
      <c r="B23" s="56"/>
      <c r="E23" s="3"/>
      <c r="F23" s="3"/>
      <c r="G23" s="3"/>
      <c r="H23" s="71"/>
      <c r="I23" s="3"/>
      <c r="J23" s="65"/>
      <c r="K23" s="65"/>
      <c r="L23" s="65"/>
    </row>
    <row r="24" spans="2:16" ht="20">
      <c r="B24" s="21">
        <f>Home!B13</f>
        <v>0</v>
      </c>
      <c r="C24" s="21">
        <f>Home!C13</f>
        <v>0</v>
      </c>
      <c r="D24" s="21">
        <f>Home!D13</f>
        <v>0</v>
      </c>
      <c r="E24" s="21">
        <f>Home!G13</f>
        <v>0</v>
      </c>
      <c r="F24" s="3"/>
      <c r="G24" s="3"/>
    </row>
    <row r="25" spans="2:16" ht="20">
      <c r="B25" s="3" t="s">
        <v>47</v>
      </c>
      <c r="C25" s="54" t="str">
        <f>Home!E23</f>
        <v>Select Market</v>
      </c>
      <c r="D25" s="21"/>
      <c r="H25" s="3" t="s">
        <v>220</v>
      </c>
      <c r="I25" s="3"/>
      <c r="J25" s="43">
        <f>Home!J13</f>
        <v>0</v>
      </c>
      <c r="K25" s="28"/>
      <c r="L25" s="28"/>
    </row>
    <row r="26" spans="2:16" ht="20">
      <c r="B26" s="3" t="s">
        <v>215</v>
      </c>
      <c r="C26" s="136">
        <f>Home!K13</f>
        <v>0</v>
      </c>
      <c r="E26" s="32"/>
      <c r="F26" s="3"/>
      <c r="G26" s="3"/>
      <c r="H26" s="3" t="s">
        <v>44</v>
      </c>
      <c r="I26" s="3"/>
      <c r="J26" s="32">
        <f>IFERROR(J25*$C$27,0)</f>
        <v>0</v>
      </c>
      <c r="K26" s="32">
        <f t="shared" ref="K26:L26" si="3">IFERROR(K25*$C$27,0)</f>
        <v>0</v>
      </c>
      <c r="L26" s="32">
        <f t="shared" si="3"/>
        <v>0</v>
      </c>
    </row>
    <row r="27" spans="2:16" ht="20">
      <c r="B27" s="3" t="s">
        <v>510</v>
      </c>
      <c r="C27" s="67">
        <f>Home!F23</f>
        <v>0</v>
      </c>
      <c r="E27" s="70"/>
      <c r="F27" s="3"/>
      <c r="G27" s="3"/>
      <c r="H27" s="3" t="s">
        <v>45</v>
      </c>
      <c r="I27" s="3"/>
      <c r="J27" s="68">
        <f>IFERROR(J26*$C$28,0)</f>
        <v>0</v>
      </c>
      <c r="K27" s="68">
        <f t="shared" ref="K27:L27" si="4">IFERROR(K26*$C$28,0)</f>
        <v>0</v>
      </c>
      <c r="L27" s="68">
        <f t="shared" si="4"/>
        <v>0</v>
      </c>
    </row>
    <row r="28" spans="2:16" ht="20">
      <c r="B28" s="3" t="s">
        <v>45</v>
      </c>
      <c r="C28" s="69">
        <f>Home!M13</f>
        <v>0</v>
      </c>
      <c r="E28" s="3"/>
      <c r="F28" s="3"/>
      <c r="G28" s="3"/>
      <c r="H28" s="71" t="s">
        <v>509</v>
      </c>
      <c r="I28" s="3"/>
      <c r="J28" s="72"/>
      <c r="K28" s="63">
        <f>IFERROR(IF((K25-J25)/J25&lt;0,"NEGATIVE GROWTH",(K25-J25)/J25),0)</f>
        <v>0</v>
      </c>
      <c r="L28" s="63">
        <f>IFERROR(IF(0&gt;(L25-K25)/K25,"NEGATIVE GROWTH",(L25-K25)/K25),0)</f>
        <v>0</v>
      </c>
    </row>
    <row r="29" spans="2:16" ht="20">
      <c r="B29" s="56"/>
      <c r="E29" s="3"/>
      <c r="F29" s="3"/>
      <c r="G29" s="3"/>
      <c r="H29" s="71"/>
      <c r="I29" s="3"/>
      <c r="J29" s="65"/>
      <c r="K29" s="65"/>
      <c r="L29" s="65"/>
    </row>
    <row r="30" spans="2:16" ht="20">
      <c r="B30" s="21">
        <f>Home!B14</f>
        <v>0</v>
      </c>
      <c r="C30" s="21">
        <f>Home!C14</f>
        <v>0</v>
      </c>
      <c r="D30" s="21">
        <f>Home!D14</f>
        <v>0</v>
      </c>
      <c r="E30" s="21">
        <f>Home!G14</f>
        <v>0</v>
      </c>
      <c r="F30" s="3"/>
      <c r="G30" s="3"/>
    </row>
    <row r="31" spans="2:16" ht="20">
      <c r="B31" s="3" t="s">
        <v>47</v>
      </c>
      <c r="C31" s="54" t="str">
        <f>Home!E24</f>
        <v>Select Market</v>
      </c>
      <c r="D31" s="21"/>
      <c r="H31" s="3" t="s">
        <v>220</v>
      </c>
      <c r="I31" s="3"/>
      <c r="J31" s="43">
        <f>Home!J14</f>
        <v>0</v>
      </c>
      <c r="K31" s="28"/>
      <c r="L31" s="28"/>
    </row>
    <row r="32" spans="2:16" ht="20">
      <c r="B32" s="3" t="s">
        <v>215</v>
      </c>
      <c r="C32" s="136">
        <f>Home!K14</f>
        <v>0</v>
      </c>
      <c r="E32" s="32"/>
      <c r="F32" s="3"/>
      <c r="G32" s="3"/>
      <c r="H32" s="3" t="s">
        <v>44</v>
      </c>
      <c r="I32" s="3"/>
      <c r="J32" s="32">
        <f>IFERROR(J31*$C$33,0)</f>
        <v>0</v>
      </c>
      <c r="K32" s="32">
        <f t="shared" ref="K32:L32" si="5">IFERROR(K31*$C$33,0)</f>
        <v>0</v>
      </c>
      <c r="L32" s="32">
        <f t="shared" si="5"/>
        <v>0</v>
      </c>
    </row>
    <row r="33" spans="2:12" ht="20">
      <c r="B33" s="3" t="s">
        <v>510</v>
      </c>
      <c r="C33" s="67">
        <f>Home!F24</f>
        <v>0</v>
      </c>
      <c r="E33" s="70"/>
      <c r="F33" s="3"/>
      <c r="G33" s="3"/>
      <c r="H33" s="3" t="s">
        <v>45</v>
      </c>
      <c r="I33" s="3"/>
      <c r="J33" s="68">
        <f>IFERROR(J32*$C$34,0)</f>
        <v>0</v>
      </c>
      <c r="K33" s="68">
        <f t="shared" ref="K33:L33" si="6">IFERROR(K32*$C$34,0)</f>
        <v>0</v>
      </c>
      <c r="L33" s="68">
        <f t="shared" si="6"/>
        <v>0</v>
      </c>
    </row>
    <row r="34" spans="2:12" ht="20">
      <c r="B34" s="3" t="s">
        <v>45</v>
      </c>
      <c r="C34" s="69">
        <f>Home!M14</f>
        <v>0</v>
      </c>
      <c r="E34" s="3"/>
      <c r="F34" s="3"/>
      <c r="G34" s="3"/>
      <c r="H34" s="71" t="s">
        <v>509</v>
      </c>
      <c r="I34" s="3"/>
      <c r="J34" s="72"/>
      <c r="K34" s="63">
        <f>IFERROR(IF((K31-J31)/J31&lt;0,"NEGATIVE GROWTH",(K31-J31)/J31),0)</f>
        <v>0</v>
      </c>
      <c r="L34" s="63">
        <f>IFERROR(IF(0&gt;(L31-K31)/K31,"NEGATIVE GROWTH",(L31-K31)/K31),0)</f>
        <v>0</v>
      </c>
    </row>
    <row r="35" spans="2:12" ht="20">
      <c r="B35" s="10"/>
      <c r="E35" s="3"/>
      <c r="F35" s="3"/>
      <c r="G35" s="3"/>
      <c r="H35" s="71"/>
      <c r="I35" s="3"/>
      <c r="J35" s="65"/>
      <c r="K35" s="65"/>
      <c r="L35" s="65"/>
    </row>
    <row r="36" spans="2:12" ht="20">
      <c r="B36" s="21">
        <f>Home!B15</f>
        <v>0</v>
      </c>
      <c r="C36" s="21">
        <f>Home!C15</f>
        <v>0</v>
      </c>
      <c r="D36" s="21">
        <f>Home!D15</f>
        <v>0</v>
      </c>
      <c r="E36" s="21">
        <f>Home!G15</f>
        <v>0</v>
      </c>
      <c r="F36" s="3"/>
      <c r="G36" s="3"/>
    </row>
    <row r="37" spans="2:12" ht="20">
      <c r="B37" s="3" t="s">
        <v>47</v>
      </c>
      <c r="C37" s="54" t="str">
        <f>Home!E25</f>
        <v>Select Market</v>
      </c>
      <c r="D37" s="21"/>
      <c r="H37" s="3" t="s">
        <v>220</v>
      </c>
      <c r="I37" s="3"/>
      <c r="J37" s="43">
        <f>Home!J15</f>
        <v>0</v>
      </c>
      <c r="K37" s="28"/>
      <c r="L37" s="28"/>
    </row>
    <row r="38" spans="2:12" ht="20">
      <c r="B38" s="3" t="s">
        <v>215</v>
      </c>
      <c r="C38" s="136">
        <f>Home!K15</f>
        <v>0</v>
      </c>
      <c r="E38" s="32"/>
      <c r="F38" s="3"/>
      <c r="G38" s="3"/>
      <c r="H38" s="3" t="s">
        <v>44</v>
      </c>
      <c r="I38" s="3"/>
      <c r="J38" s="32">
        <f>IFERROR(J37*$C$39,0)</f>
        <v>0</v>
      </c>
      <c r="K38" s="32">
        <f t="shared" ref="K38:L38" si="7">IFERROR(K37*$C$39,0)</f>
        <v>0</v>
      </c>
      <c r="L38" s="32">
        <f t="shared" si="7"/>
        <v>0</v>
      </c>
    </row>
    <row r="39" spans="2:12" ht="20">
      <c r="B39" s="3" t="s">
        <v>510</v>
      </c>
      <c r="C39" s="67">
        <f>Home!F25</f>
        <v>0</v>
      </c>
      <c r="E39" s="70"/>
      <c r="F39" s="3"/>
      <c r="G39" s="3"/>
      <c r="H39" s="3" t="s">
        <v>45</v>
      </c>
      <c r="I39" s="3"/>
      <c r="J39" s="68">
        <f>IFERROR(J38*$C$40,0)</f>
        <v>0</v>
      </c>
      <c r="K39" s="68">
        <f t="shared" ref="K39:L39" si="8">IFERROR(K38*$C$40,0)</f>
        <v>0</v>
      </c>
      <c r="L39" s="68">
        <f t="shared" si="8"/>
        <v>0</v>
      </c>
    </row>
    <row r="40" spans="2:12" ht="20">
      <c r="B40" s="3" t="s">
        <v>45</v>
      </c>
      <c r="C40" s="69">
        <f>Home!M15</f>
        <v>0</v>
      </c>
      <c r="E40" s="3"/>
      <c r="F40" s="3"/>
      <c r="G40" s="3"/>
      <c r="H40" s="71" t="s">
        <v>509</v>
      </c>
      <c r="I40" s="3"/>
      <c r="J40" s="72"/>
      <c r="K40" s="63">
        <f>IFERROR(IF((K37-J37)/J37&lt;0,"NEGATIVE GROWTH",(K37-J37)/J37),0)</f>
        <v>0</v>
      </c>
      <c r="L40" s="63">
        <f>IFERROR(IF(0&gt;(L37-K37)/K37,"NEGATIVE GROWTH",(L37-K37)/K37),0)</f>
        <v>0</v>
      </c>
    </row>
    <row r="41" spans="2:12" ht="20">
      <c r="B41" s="10"/>
      <c r="E41" s="3"/>
      <c r="F41" s="3"/>
      <c r="G41" s="3"/>
      <c r="H41" s="71"/>
      <c r="I41" s="3"/>
      <c r="J41" s="65"/>
      <c r="K41" s="65"/>
      <c r="L41" s="65"/>
    </row>
    <row r="42" spans="2:12" ht="20">
      <c r="B42" s="10"/>
      <c r="C42" s="3"/>
      <c r="D42" s="3"/>
      <c r="E42" s="21"/>
      <c r="F42" s="3"/>
      <c r="G42" s="3"/>
    </row>
    <row r="43" spans="2:12" ht="20">
      <c r="B43" s="73"/>
      <c r="C43" s="21"/>
      <c r="D43" s="21"/>
      <c r="H43" s="3"/>
      <c r="I43" s="3"/>
      <c r="J43" s="74"/>
      <c r="K43" s="74"/>
      <c r="L43" s="74"/>
    </row>
    <row r="44" spans="2:12" ht="20">
      <c r="B44" s="3"/>
      <c r="C44" s="54"/>
      <c r="E44" s="32"/>
      <c r="F44" s="3"/>
      <c r="G44" s="3"/>
      <c r="H44" s="3"/>
      <c r="I44" s="3"/>
      <c r="J44" s="32"/>
      <c r="K44" s="32"/>
      <c r="L44" s="32"/>
    </row>
    <row r="45" spans="2:12" ht="20">
      <c r="B45" s="3"/>
      <c r="C45" s="67"/>
      <c r="E45" s="65"/>
      <c r="F45" s="3"/>
      <c r="G45" s="3"/>
      <c r="H45" s="3"/>
      <c r="I45" s="3"/>
      <c r="J45" s="32"/>
      <c r="K45" s="32"/>
      <c r="L45" s="32"/>
    </row>
    <row r="46" spans="2:12" ht="20">
      <c r="B46" s="3"/>
      <c r="C46" s="75"/>
      <c r="E46" s="3"/>
      <c r="F46" s="3"/>
      <c r="G46" s="3"/>
      <c r="H46" s="71"/>
      <c r="I46" s="3"/>
      <c r="J46" s="65"/>
      <c r="K46" s="65"/>
      <c r="L46" s="65"/>
    </row>
    <row r="47" spans="2:12" ht="20">
      <c r="E47" s="3"/>
      <c r="F47" s="3"/>
      <c r="G47" s="3"/>
      <c r="H47" s="71"/>
      <c r="I47" s="3"/>
      <c r="J47" s="65"/>
      <c r="K47" s="65"/>
      <c r="L47" s="65"/>
    </row>
    <row r="48" spans="2:12" ht="20">
      <c r="C48" s="3"/>
      <c r="D48" s="3"/>
      <c r="E48" s="21"/>
      <c r="F48" s="3"/>
      <c r="G48" s="3"/>
    </row>
    <row r="49" spans="2:12" ht="20">
      <c r="B49" s="49"/>
      <c r="C49" s="21"/>
      <c r="D49" s="21"/>
      <c r="H49" s="3"/>
      <c r="I49" s="3"/>
      <c r="J49" s="74"/>
      <c r="K49" s="74"/>
      <c r="L49" s="74"/>
    </row>
    <row r="50" spans="2:12" ht="20">
      <c r="B50" s="3"/>
      <c r="C50" s="54"/>
      <c r="E50" s="32"/>
      <c r="F50" s="3"/>
      <c r="G50" s="3"/>
      <c r="H50" s="3"/>
      <c r="I50" s="3"/>
      <c r="J50" s="32"/>
      <c r="K50" s="32"/>
      <c r="L50" s="32"/>
    </row>
    <row r="51" spans="2:12" ht="20">
      <c r="B51" s="3"/>
      <c r="C51" s="67"/>
      <c r="E51" s="65"/>
      <c r="F51" s="3"/>
      <c r="G51" s="3"/>
      <c r="H51" s="3"/>
      <c r="I51" s="3"/>
      <c r="J51" s="32"/>
      <c r="K51" s="32"/>
      <c r="L51" s="32"/>
    </row>
    <row r="52" spans="2:12" ht="20">
      <c r="B52" s="3"/>
      <c r="C52" s="75"/>
      <c r="E52" s="3"/>
      <c r="F52" s="3"/>
      <c r="G52" s="3"/>
      <c r="H52" s="71"/>
      <c r="I52" s="3"/>
      <c r="J52" s="65"/>
      <c r="K52" s="65"/>
      <c r="L52" s="65"/>
    </row>
    <row r="53" spans="2:12" ht="20">
      <c r="E53" s="3"/>
      <c r="F53" s="3"/>
      <c r="G53" s="3"/>
      <c r="H53" s="71"/>
      <c r="I53" s="3"/>
      <c r="J53" s="65"/>
      <c r="K53" s="65"/>
      <c r="L53" s="65"/>
    </row>
    <row r="54" spans="2:12" ht="20">
      <c r="C54" s="3"/>
      <c r="D54" s="3"/>
      <c r="E54" s="21"/>
      <c r="F54" s="3"/>
      <c r="G54" s="3"/>
    </row>
    <row r="55" spans="2:12" ht="20">
      <c r="B55" s="49"/>
      <c r="C55" s="21"/>
      <c r="D55" s="21"/>
      <c r="H55" s="3"/>
      <c r="I55" s="3"/>
      <c r="J55" s="74"/>
      <c r="K55" s="74"/>
      <c r="L55" s="74"/>
    </row>
    <row r="56" spans="2:12" ht="20">
      <c r="B56" s="3"/>
      <c r="C56" s="54"/>
      <c r="E56" s="32"/>
      <c r="F56" s="3"/>
      <c r="G56" s="3"/>
      <c r="H56" s="3"/>
      <c r="I56" s="3"/>
      <c r="J56" s="32"/>
      <c r="K56" s="32"/>
      <c r="L56" s="32"/>
    </row>
    <row r="57" spans="2:12" ht="20">
      <c r="B57" s="3"/>
      <c r="C57" s="67"/>
      <c r="E57" s="65"/>
      <c r="F57" s="3"/>
      <c r="G57" s="3"/>
      <c r="H57" s="3"/>
      <c r="I57" s="3"/>
      <c r="J57" s="32"/>
      <c r="K57" s="32"/>
      <c r="L57" s="32"/>
    </row>
    <row r="58" spans="2:12" ht="20">
      <c r="B58" s="3"/>
      <c r="C58" s="75"/>
      <c r="E58" s="3"/>
      <c r="F58" s="3"/>
      <c r="G58" s="3"/>
      <c r="H58" s="71"/>
      <c r="I58" s="3"/>
      <c r="J58" s="65"/>
      <c r="K58" s="65"/>
      <c r="L58" s="65"/>
    </row>
    <row r="59" spans="2:12" ht="20">
      <c r="E59" s="3"/>
      <c r="F59" s="3"/>
      <c r="G59" s="3"/>
      <c r="H59" s="71"/>
      <c r="I59" s="3"/>
      <c r="J59" s="65"/>
      <c r="K59" s="65"/>
      <c r="L59" s="65"/>
    </row>
    <row r="60" spans="2:12" ht="20">
      <c r="C60" s="3"/>
      <c r="D60" s="3"/>
      <c r="E60" s="21"/>
      <c r="F60" s="3"/>
      <c r="G60" s="3"/>
    </row>
    <row r="61" spans="2:12" ht="20">
      <c r="B61" s="49"/>
      <c r="C61" s="21"/>
      <c r="D61" s="21"/>
      <c r="H61" s="3"/>
      <c r="I61" s="3"/>
      <c r="J61" s="74"/>
      <c r="K61" s="74"/>
      <c r="L61" s="74"/>
    </row>
    <row r="62" spans="2:12" ht="20">
      <c r="B62" s="3"/>
      <c r="C62" s="54"/>
      <c r="E62" s="32"/>
      <c r="F62" s="3"/>
      <c r="G62" s="3"/>
      <c r="H62" s="3"/>
      <c r="I62" s="3"/>
      <c r="J62" s="32"/>
      <c r="K62" s="32"/>
      <c r="L62" s="32"/>
    </row>
    <row r="63" spans="2:12" ht="20">
      <c r="B63" s="3"/>
      <c r="C63" s="67"/>
      <c r="E63" s="65"/>
      <c r="F63" s="3"/>
      <c r="G63" s="3"/>
      <c r="H63" s="3"/>
      <c r="I63" s="3"/>
      <c r="J63" s="32"/>
      <c r="K63" s="32"/>
      <c r="L63" s="32"/>
    </row>
    <row r="64" spans="2:12" ht="20">
      <c r="B64" s="3"/>
      <c r="C64" s="75"/>
      <c r="E64" s="3"/>
      <c r="F64" s="3"/>
      <c r="G64" s="3"/>
      <c r="H64" s="71"/>
      <c r="I64" s="3"/>
      <c r="J64" s="65"/>
      <c r="K64" s="65"/>
      <c r="L64" s="65"/>
    </row>
    <row r="65" spans="2:12" ht="20">
      <c r="E65" s="3"/>
      <c r="F65" s="3"/>
      <c r="G65" s="3"/>
      <c r="H65" s="71"/>
      <c r="I65" s="3"/>
      <c r="J65" s="65"/>
      <c r="K65" s="65"/>
      <c r="L65" s="65"/>
    </row>
    <row r="66" spans="2:12" ht="20">
      <c r="C66" s="3"/>
      <c r="D66" s="3"/>
      <c r="E66" s="21"/>
      <c r="F66" s="3"/>
      <c r="G66" s="3"/>
    </row>
    <row r="67" spans="2:12" ht="20">
      <c r="B67" s="49"/>
      <c r="C67" s="21"/>
      <c r="D67" s="21"/>
      <c r="H67" s="3"/>
      <c r="I67" s="3"/>
      <c r="J67" s="74"/>
      <c r="K67" s="74"/>
      <c r="L67" s="74"/>
    </row>
    <row r="68" spans="2:12" ht="20">
      <c r="B68" s="3"/>
      <c r="C68" s="54"/>
      <c r="E68" s="32"/>
      <c r="F68" s="3"/>
      <c r="G68" s="3"/>
      <c r="H68" s="3"/>
      <c r="I68" s="3"/>
      <c r="J68" s="32"/>
      <c r="K68" s="32"/>
      <c r="L68" s="32"/>
    </row>
    <row r="69" spans="2:12" ht="20">
      <c r="B69" s="3"/>
      <c r="C69" s="67"/>
      <c r="E69" s="65"/>
      <c r="F69" s="3"/>
      <c r="G69" s="3"/>
      <c r="H69" s="3"/>
      <c r="I69" s="3"/>
      <c r="J69" s="32"/>
      <c r="K69" s="32"/>
      <c r="L69" s="32"/>
    </row>
    <row r="70" spans="2:12" ht="20">
      <c r="B70" s="3"/>
      <c r="C70" s="75"/>
      <c r="E70" s="3"/>
      <c r="F70" s="3"/>
      <c r="G70" s="3"/>
      <c r="H70" s="71"/>
      <c r="I70" s="3"/>
      <c r="J70" s="65"/>
      <c r="K70" s="65"/>
      <c r="L70" s="65"/>
    </row>
    <row r="71" spans="2:12" ht="20">
      <c r="E71" s="3"/>
      <c r="F71" s="3"/>
      <c r="G71" s="3"/>
      <c r="H71" s="71"/>
      <c r="I71" s="3"/>
      <c r="J71" s="65"/>
      <c r="K71" s="65"/>
      <c r="L71" s="65"/>
    </row>
    <row r="72" spans="2:12" ht="20">
      <c r="C72" s="3"/>
      <c r="D72" s="3"/>
      <c r="E72" s="21"/>
      <c r="F72" s="3"/>
      <c r="G72" s="3"/>
    </row>
    <row r="73" spans="2:12" ht="20">
      <c r="B73" s="49"/>
      <c r="C73" s="21"/>
      <c r="D73" s="21"/>
      <c r="F73" s="76"/>
      <c r="H73" s="3"/>
      <c r="I73" s="3"/>
      <c r="J73" s="74"/>
      <c r="K73" s="74"/>
      <c r="L73" s="74"/>
    </row>
    <row r="74" spans="2:12" ht="20">
      <c r="B74" s="3"/>
      <c r="C74" s="54"/>
      <c r="E74" s="32"/>
      <c r="F74" s="3"/>
      <c r="G74" s="3"/>
      <c r="H74" s="3"/>
      <c r="I74" s="3"/>
      <c r="J74" s="32"/>
      <c r="K74" s="32"/>
      <c r="L74" s="32"/>
    </row>
    <row r="75" spans="2:12" ht="20">
      <c r="B75" s="3"/>
      <c r="C75" s="67"/>
      <c r="E75" s="65"/>
      <c r="F75" s="3"/>
      <c r="G75" s="3"/>
      <c r="H75" s="3"/>
      <c r="I75" s="3"/>
      <c r="J75" s="32"/>
      <c r="K75" s="32"/>
      <c r="L75" s="32"/>
    </row>
    <row r="76" spans="2:12" ht="20">
      <c r="B76" s="3"/>
      <c r="C76" s="75"/>
      <c r="E76" s="3"/>
      <c r="F76" s="3"/>
      <c r="G76" s="3"/>
      <c r="H76" s="71"/>
      <c r="I76" s="3"/>
      <c r="J76" s="65"/>
      <c r="K76" s="65"/>
      <c r="L76" s="65"/>
    </row>
    <row r="77" spans="2:12" ht="20">
      <c r="E77" s="3"/>
      <c r="F77" s="3"/>
      <c r="G77" s="3"/>
      <c r="H77" s="71"/>
      <c r="I77" s="3"/>
      <c r="J77" s="65"/>
      <c r="K77" s="65"/>
      <c r="L77" s="65"/>
    </row>
    <row r="78" spans="2:12" ht="20">
      <c r="C78" s="3"/>
      <c r="D78" s="3"/>
      <c r="E78" s="21"/>
      <c r="F78" s="3"/>
      <c r="G78" s="3"/>
    </row>
    <row r="79" spans="2:12" ht="20">
      <c r="B79" s="49"/>
      <c r="C79" s="21"/>
      <c r="D79" s="21"/>
      <c r="H79" s="3"/>
      <c r="I79" s="3"/>
      <c r="J79" s="74"/>
      <c r="K79" s="74"/>
      <c r="L79" s="74"/>
    </row>
    <row r="80" spans="2:12" ht="20">
      <c r="B80" s="3"/>
      <c r="C80" s="54"/>
      <c r="E80" s="32"/>
      <c r="F80" s="3"/>
      <c r="G80" s="3"/>
      <c r="H80" s="3"/>
      <c r="I80" s="3"/>
      <c r="J80" s="32"/>
      <c r="K80" s="32"/>
      <c r="L80" s="32"/>
    </row>
    <row r="81" spans="2:12" ht="20">
      <c r="B81" s="3"/>
      <c r="C81" s="67"/>
      <c r="E81" s="65"/>
      <c r="F81" s="3"/>
      <c r="G81" s="3"/>
      <c r="H81" s="3"/>
      <c r="I81" s="3"/>
      <c r="J81" s="32"/>
      <c r="K81" s="32"/>
      <c r="L81" s="32"/>
    </row>
    <row r="82" spans="2:12" ht="20">
      <c r="B82" s="3"/>
      <c r="C82" s="75"/>
      <c r="E82" s="3"/>
      <c r="F82" s="3"/>
      <c r="G82" s="3"/>
      <c r="H82" s="71"/>
      <c r="I82" s="3"/>
      <c r="J82" s="65"/>
      <c r="K82" s="65"/>
      <c r="L82" s="65"/>
    </row>
    <row r="83" spans="2:12" ht="20">
      <c r="E83" s="3"/>
      <c r="F83" s="3"/>
      <c r="G83" s="3"/>
      <c r="H83" s="71"/>
      <c r="I83" s="3"/>
      <c r="J83" s="65"/>
      <c r="K83" s="65"/>
      <c r="L83" s="65"/>
    </row>
    <row r="84" spans="2:12" ht="20">
      <c r="C84" s="3"/>
      <c r="D84" s="3"/>
      <c r="E84" s="21"/>
      <c r="F84" s="3"/>
      <c r="G84" s="3"/>
    </row>
    <row r="85" spans="2:12" ht="20">
      <c r="B85" s="49"/>
      <c r="C85" s="21"/>
      <c r="D85" s="21"/>
      <c r="H85" s="3"/>
      <c r="I85" s="3"/>
      <c r="J85" s="74"/>
      <c r="K85" s="74"/>
      <c r="L85" s="74"/>
    </row>
    <row r="86" spans="2:12" ht="20">
      <c r="B86" s="3"/>
      <c r="C86" s="54"/>
      <c r="E86" s="32"/>
      <c r="F86" s="3"/>
      <c r="G86" s="3"/>
      <c r="H86" s="3"/>
      <c r="I86" s="3"/>
      <c r="J86" s="32"/>
      <c r="K86" s="32"/>
      <c r="L86" s="32"/>
    </row>
    <row r="87" spans="2:12" ht="20">
      <c r="B87" s="3"/>
      <c r="C87" s="67"/>
      <c r="E87" s="65"/>
      <c r="F87" s="3"/>
      <c r="G87" s="3"/>
      <c r="H87" s="3"/>
      <c r="I87" s="3"/>
      <c r="J87" s="32"/>
      <c r="K87" s="32"/>
      <c r="L87" s="32"/>
    </row>
    <row r="88" spans="2:12" ht="20">
      <c r="B88" s="3"/>
      <c r="C88" s="75"/>
      <c r="E88" s="3"/>
      <c r="F88" s="3"/>
      <c r="G88" s="3"/>
      <c r="H88" s="71"/>
      <c r="I88" s="3"/>
      <c r="J88" s="65"/>
      <c r="K88" s="65"/>
      <c r="L88" s="65"/>
    </row>
    <row r="89" spans="2:12" ht="20">
      <c r="E89" s="3"/>
      <c r="F89" s="3"/>
      <c r="G89" s="3"/>
      <c r="H89" s="71"/>
      <c r="I89" s="3"/>
      <c r="J89" s="65"/>
      <c r="K89" s="65"/>
      <c r="L89" s="65"/>
    </row>
    <row r="90" spans="2:12" ht="20">
      <c r="C90" s="3"/>
      <c r="D90" s="3"/>
      <c r="E90" s="21"/>
      <c r="F90" s="3"/>
      <c r="G90" s="3"/>
    </row>
    <row r="91" spans="2:12" ht="20">
      <c r="B91" s="49"/>
      <c r="C91" s="21"/>
      <c r="D91" s="21"/>
      <c r="H91" s="3"/>
      <c r="I91" s="3"/>
      <c r="J91" s="74"/>
      <c r="K91" s="74"/>
      <c r="L91" s="74"/>
    </row>
    <row r="92" spans="2:12" ht="20">
      <c r="B92" s="3"/>
      <c r="C92" s="54"/>
      <c r="E92" s="32"/>
      <c r="F92" s="3"/>
      <c r="G92" s="3"/>
      <c r="H92" s="3"/>
      <c r="I92" s="3"/>
      <c r="J92" s="32"/>
      <c r="K92" s="32"/>
      <c r="L92" s="32"/>
    </row>
    <row r="93" spans="2:12" ht="20">
      <c r="B93" s="3"/>
      <c r="C93" s="67"/>
      <c r="E93" s="65"/>
      <c r="F93" s="3"/>
      <c r="G93" s="3"/>
      <c r="H93" s="3"/>
      <c r="I93" s="3"/>
      <c r="J93" s="32"/>
      <c r="K93" s="32"/>
      <c r="L93" s="32"/>
    </row>
    <row r="94" spans="2:12" ht="20">
      <c r="B94" s="3"/>
      <c r="C94" s="75"/>
      <c r="E94" s="3"/>
      <c r="F94" s="3"/>
      <c r="G94" s="3"/>
      <c r="H94" s="71"/>
      <c r="I94" s="3"/>
      <c r="J94" s="65"/>
      <c r="K94" s="65"/>
      <c r="L94" s="65"/>
    </row>
    <row r="95" spans="2:12" ht="20">
      <c r="E95" s="3"/>
      <c r="F95" s="3"/>
      <c r="G95" s="3"/>
      <c r="H95" s="71"/>
      <c r="I95" s="3"/>
      <c r="J95" s="65"/>
      <c r="K95" s="65"/>
      <c r="L95" s="65"/>
    </row>
    <row r="96" spans="2:12" ht="20">
      <c r="C96" s="3"/>
      <c r="D96" s="3"/>
      <c r="E96" s="21"/>
      <c r="F96" s="3"/>
      <c r="G96" s="3"/>
    </row>
    <row r="97" spans="2:12" ht="20">
      <c r="B97" s="49"/>
      <c r="C97" s="21"/>
      <c r="D97" s="21"/>
      <c r="H97" s="3"/>
      <c r="I97" s="3"/>
      <c r="J97" s="74"/>
      <c r="K97" s="74"/>
      <c r="L97" s="74"/>
    </row>
    <row r="98" spans="2:12" ht="20">
      <c r="B98" s="3"/>
      <c r="C98" s="54"/>
      <c r="E98" s="32"/>
      <c r="F98" s="3"/>
      <c r="G98" s="3"/>
      <c r="H98" s="3"/>
      <c r="I98" s="3"/>
      <c r="J98" s="32"/>
      <c r="K98" s="32"/>
      <c r="L98" s="32"/>
    </row>
    <row r="99" spans="2:12" ht="20">
      <c r="B99" s="3"/>
      <c r="C99" s="67"/>
      <c r="E99" s="65"/>
      <c r="F99" s="3"/>
      <c r="G99" s="3"/>
      <c r="H99" s="3"/>
      <c r="I99" s="3"/>
      <c r="J99" s="32"/>
      <c r="K99" s="32"/>
      <c r="L99" s="32"/>
    </row>
    <row r="100" spans="2:12" ht="20">
      <c r="B100" s="3"/>
      <c r="C100" s="75"/>
      <c r="E100" s="3"/>
      <c r="F100" s="3"/>
      <c r="G100" s="3"/>
      <c r="H100" s="71"/>
      <c r="I100" s="3"/>
      <c r="J100" s="65"/>
      <c r="K100" s="65"/>
      <c r="L100" s="65"/>
    </row>
    <row r="101" spans="2:12" ht="20">
      <c r="E101" s="3"/>
      <c r="F101" s="3"/>
      <c r="G101" s="3"/>
      <c r="H101" s="71"/>
      <c r="I101" s="3"/>
      <c r="J101" s="65"/>
      <c r="K101" s="65"/>
      <c r="L101" s="65"/>
    </row>
    <row r="102" spans="2:12" ht="20">
      <c r="C102" s="3"/>
      <c r="D102" s="3"/>
      <c r="E102" s="21"/>
      <c r="F102" s="3"/>
      <c r="G102" s="3"/>
    </row>
    <row r="103" spans="2:12" ht="20">
      <c r="B103" s="49"/>
      <c r="C103" s="21"/>
      <c r="D103" s="21"/>
      <c r="H103" s="3"/>
      <c r="I103" s="3"/>
      <c r="J103" s="74"/>
      <c r="K103" s="74"/>
      <c r="L103" s="74"/>
    </row>
    <row r="104" spans="2:12" ht="20">
      <c r="B104" s="3"/>
      <c r="C104" s="54"/>
      <c r="E104" s="32"/>
      <c r="F104" s="3"/>
      <c r="G104" s="3"/>
      <c r="H104" s="3"/>
      <c r="I104" s="3"/>
      <c r="J104" s="32"/>
      <c r="K104" s="32"/>
      <c r="L104" s="32"/>
    </row>
    <row r="105" spans="2:12" ht="20">
      <c r="B105" s="3"/>
      <c r="C105" s="67"/>
      <c r="E105" s="65"/>
      <c r="F105" s="3"/>
      <c r="G105" s="3"/>
      <c r="H105" s="3"/>
      <c r="I105" s="3"/>
      <c r="J105" s="32"/>
      <c r="K105" s="32"/>
      <c r="L105" s="32"/>
    </row>
    <row r="106" spans="2:12" ht="20">
      <c r="B106" s="3"/>
      <c r="C106" s="75"/>
      <c r="E106" s="3"/>
      <c r="F106" s="3"/>
      <c r="G106" s="3"/>
      <c r="H106" s="71"/>
      <c r="I106" s="3"/>
      <c r="J106" s="65"/>
      <c r="K106" s="65"/>
      <c r="L106" s="65"/>
    </row>
    <row r="107" spans="2:12" ht="20">
      <c r="E107" s="3"/>
      <c r="F107" s="3"/>
      <c r="G107" s="3"/>
      <c r="H107" s="71"/>
      <c r="I107" s="3"/>
      <c r="J107" s="65"/>
      <c r="K107" s="65"/>
      <c r="L107" s="65"/>
    </row>
    <row r="108" spans="2:12" ht="20">
      <c r="C108" s="3"/>
      <c r="D108" s="3"/>
      <c r="E108" s="21"/>
      <c r="F108" s="3"/>
      <c r="G108" s="3"/>
    </row>
    <row r="109" spans="2:12" ht="20">
      <c r="B109" s="49"/>
      <c r="C109" s="21"/>
      <c r="D109" s="21"/>
      <c r="H109" s="3"/>
      <c r="I109" s="3"/>
      <c r="J109" s="74"/>
      <c r="K109" s="74"/>
      <c r="L109" s="74"/>
    </row>
    <row r="110" spans="2:12" ht="20">
      <c r="B110" s="3"/>
      <c r="C110" s="54"/>
      <c r="E110" s="32"/>
      <c r="F110" s="3"/>
      <c r="G110" s="3"/>
      <c r="H110" s="3"/>
      <c r="I110" s="3"/>
      <c r="J110" s="32"/>
      <c r="K110" s="32"/>
      <c r="L110" s="32"/>
    </row>
    <row r="111" spans="2:12" ht="20">
      <c r="B111" s="3"/>
      <c r="C111" s="67"/>
      <c r="E111" s="65"/>
      <c r="F111" s="3"/>
      <c r="G111" s="3"/>
      <c r="H111" s="3"/>
      <c r="I111" s="3"/>
      <c r="J111" s="32"/>
      <c r="K111" s="32"/>
      <c r="L111" s="32"/>
    </row>
    <row r="112" spans="2:12" ht="20">
      <c r="B112" s="3"/>
      <c r="C112" s="75"/>
      <c r="E112" s="3"/>
      <c r="F112" s="3"/>
      <c r="G112" s="3"/>
      <c r="H112" s="71"/>
      <c r="I112" s="3"/>
      <c r="J112" s="65"/>
      <c r="K112" s="65"/>
      <c r="L112" s="65"/>
    </row>
    <row r="113" spans="1:12" ht="20">
      <c r="E113" s="3"/>
      <c r="F113" s="3"/>
      <c r="G113" s="3"/>
      <c r="H113" s="71"/>
      <c r="I113" s="3"/>
      <c r="J113" s="65"/>
      <c r="K113" s="65"/>
      <c r="L113" s="65"/>
    </row>
    <row r="114" spans="1:12" ht="20">
      <c r="C114" s="3"/>
      <c r="D114" s="3"/>
      <c r="E114" s="21"/>
      <c r="F114" s="3"/>
      <c r="G114" s="3"/>
    </row>
    <row r="115" spans="1:12" ht="20">
      <c r="B115" s="49"/>
      <c r="C115" s="21"/>
      <c r="D115" s="21"/>
      <c r="H115" s="3"/>
      <c r="I115" s="3"/>
      <c r="J115" s="74"/>
      <c r="K115" s="74"/>
      <c r="L115" s="74"/>
    </row>
    <row r="116" spans="1:12" ht="20">
      <c r="B116" s="3"/>
      <c r="C116" s="54"/>
      <c r="E116" s="32"/>
      <c r="F116" s="3"/>
      <c r="G116" s="3"/>
      <c r="H116" s="3"/>
      <c r="I116" s="3"/>
      <c r="J116" s="32"/>
      <c r="K116" s="32"/>
      <c r="L116" s="32"/>
    </row>
    <row r="117" spans="1:12" ht="20">
      <c r="B117" s="3"/>
      <c r="C117" s="67"/>
      <c r="E117" s="65"/>
      <c r="F117" s="3"/>
      <c r="G117" s="3"/>
      <c r="H117" s="3"/>
      <c r="I117" s="3"/>
      <c r="J117" s="32"/>
      <c r="K117" s="32"/>
      <c r="L117" s="32"/>
    </row>
    <row r="118" spans="1:12" ht="20">
      <c r="B118" s="3"/>
      <c r="C118" s="75"/>
      <c r="E118" s="3"/>
      <c r="F118" s="3"/>
      <c r="G118" s="3"/>
      <c r="H118" s="71"/>
      <c r="I118" s="3"/>
      <c r="J118" s="65"/>
      <c r="K118" s="65"/>
      <c r="L118" s="65"/>
    </row>
    <row r="119" spans="1:12" ht="20">
      <c r="E119" s="3"/>
      <c r="F119" s="3"/>
      <c r="G119" s="3"/>
      <c r="H119" s="71"/>
      <c r="I119" s="3"/>
      <c r="J119" s="65"/>
      <c r="K119" s="65"/>
      <c r="L119" s="65"/>
    </row>
    <row r="120" spans="1:12" ht="20">
      <c r="C120" s="3"/>
      <c r="D120" s="3"/>
      <c r="E120" s="21"/>
      <c r="F120" s="3"/>
      <c r="G120" s="3"/>
    </row>
    <row r="121" spans="1:12" ht="20">
      <c r="A121" s="49"/>
      <c r="B121" s="49"/>
      <c r="C121" s="21"/>
      <c r="D121" s="21"/>
      <c r="H121" s="3"/>
      <c r="I121" s="3"/>
      <c r="J121" s="74"/>
      <c r="K121" s="74"/>
      <c r="L121" s="74"/>
    </row>
    <row r="122" spans="1:12" ht="20">
      <c r="B122" s="3"/>
      <c r="C122" s="54"/>
      <c r="E122" s="32"/>
      <c r="F122" s="3"/>
      <c r="G122" s="3"/>
      <c r="H122" s="3"/>
      <c r="I122" s="3"/>
      <c r="J122" s="32"/>
      <c r="K122" s="32"/>
      <c r="L122" s="32"/>
    </row>
    <row r="123" spans="1:12" ht="20">
      <c r="B123" s="3"/>
      <c r="C123" s="67"/>
      <c r="E123" s="65"/>
      <c r="F123" s="3"/>
      <c r="G123" s="3"/>
      <c r="H123" s="3"/>
      <c r="I123" s="3"/>
      <c r="J123" s="32"/>
      <c r="K123" s="32"/>
      <c r="L123" s="32"/>
    </row>
    <row r="124" spans="1:12" ht="20">
      <c r="B124" s="3"/>
      <c r="C124" s="75"/>
      <c r="E124" s="3"/>
      <c r="F124" s="3"/>
      <c r="G124" s="3"/>
      <c r="H124" s="71"/>
      <c r="I124" s="3"/>
      <c r="J124" s="65"/>
      <c r="K124" s="65"/>
      <c r="L124" s="65"/>
    </row>
    <row r="125" spans="1:12" ht="20">
      <c r="E125" s="3"/>
      <c r="F125" s="3"/>
      <c r="G125" s="3"/>
      <c r="H125" s="71"/>
      <c r="I125" s="3"/>
      <c r="J125" s="65"/>
      <c r="K125" s="65"/>
      <c r="L125" s="65"/>
    </row>
    <row r="126" spans="1:12" ht="20">
      <c r="C126" s="3"/>
      <c r="D126" s="3"/>
      <c r="E126" s="21"/>
      <c r="F126" s="3"/>
      <c r="G126" s="3"/>
    </row>
    <row r="127" spans="1:12" ht="20">
      <c r="B127" s="49"/>
      <c r="C127" s="21"/>
      <c r="D127" s="21"/>
      <c r="H127" s="3"/>
      <c r="I127" s="3"/>
      <c r="J127" s="74"/>
      <c r="K127" s="74"/>
      <c r="L127" s="74"/>
    </row>
    <row r="128" spans="1:12" ht="20">
      <c r="B128" s="3"/>
      <c r="C128" s="54"/>
      <c r="E128" s="32"/>
      <c r="F128" s="3"/>
      <c r="G128" s="3"/>
      <c r="H128" s="3"/>
      <c r="I128" s="3"/>
      <c r="J128" s="32"/>
      <c r="K128" s="32"/>
      <c r="L128" s="32"/>
    </row>
    <row r="129" spans="2:12" ht="20">
      <c r="B129" s="3"/>
      <c r="C129" s="67"/>
      <c r="E129" s="65"/>
      <c r="F129" s="3"/>
      <c r="G129" s="3"/>
      <c r="H129" s="3"/>
      <c r="I129" s="3"/>
      <c r="J129" s="32"/>
      <c r="K129" s="32"/>
      <c r="L129" s="32"/>
    </row>
    <row r="130" spans="2:12" ht="20">
      <c r="B130" s="3"/>
      <c r="C130" s="75"/>
      <c r="E130" s="3"/>
      <c r="F130" s="3"/>
      <c r="G130" s="3"/>
      <c r="H130" s="71"/>
      <c r="I130" s="3"/>
      <c r="J130" s="65"/>
      <c r="K130" s="65"/>
      <c r="L130" s="65"/>
    </row>
    <row r="131" spans="2:12" ht="20">
      <c r="E131" s="3"/>
      <c r="F131" s="3"/>
      <c r="G131" s="3"/>
    </row>
    <row r="132" spans="2:12" ht="20">
      <c r="C132" s="3"/>
      <c r="D132" s="3"/>
      <c r="F132" s="3"/>
      <c r="G132" s="3"/>
      <c r="H132" s="71"/>
      <c r="I132" s="3"/>
      <c r="J132" s="65"/>
      <c r="K132" s="65"/>
      <c r="L132" s="65"/>
    </row>
  </sheetData>
  <sheetProtection algorithmName="SHA-512" hashValue="lhtdFgM++65kSk+O1oHHQ2ZsyG5PrvVw0C4th4euk83oyO+gzpyoX73Y8KFx7hN/vxt/ZWAym26IikfJI9EDjQ==" saltValue="f1hgKBeHANvdqp29Ow+Pjg==" spinCount="100000" sheet="1" objects="1" scenarios="1"/>
  <mergeCells count="11">
    <mergeCell ref="A2:C2"/>
    <mergeCell ref="A1:C1"/>
    <mergeCell ref="N4:R5"/>
    <mergeCell ref="N6:R8"/>
    <mergeCell ref="N9:O9"/>
    <mergeCell ref="N15:O15"/>
    <mergeCell ref="N10:O10"/>
    <mergeCell ref="R11:R13"/>
    <mergeCell ref="N12:O13"/>
    <mergeCell ref="P12:P13"/>
    <mergeCell ref="N14:O14"/>
  </mergeCells>
  <conditionalFormatting sqref="B13">
    <cfRule type="containsText" dxfId="160" priority="1553" operator="containsText" text="Select Market">
      <formula>NOT(ISERROR(SEARCH("Select Market",B13)))</formula>
    </cfRule>
  </conditionalFormatting>
  <conditionalFormatting sqref="B14">
    <cfRule type="cellIs" dxfId="159" priority="156" operator="equal">
      <formula>0</formula>
    </cfRule>
    <cfRule type="containsText" dxfId="158" priority="157" operator="containsText" text="Select Market">
      <formula>NOT(ISERROR(SEARCH("Select Market",B14)))</formula>
    </cfRule>
  </conditionalFormatting>
  <conditionalFormatting sqref="B19:B20">
    <cfRule type="cellIs" dxfId="157" priority="154" operator="equal">
      <formula>0</formula>
    </cfRule>
    <cfRule type="containsText" dxfId="156" priority="155" operator="containsText" text="Select Market">
      <formula>NOT(ISERROR(SEARCH("Select Market",B19)))</formula>
    </cfRule>
  </conditionalFormatting>
  <conditionalFormatting sqref="B25:B26">
    <cfRule type="cellIs" dxfId="155" priority="152" operator="equal">
      <formula>0</formula>
    </cfRule>
    <cfRule type="containsText" dxfId="154" priority="153" operator="containsText" text="Select Market">
      <formula>NOT(ISERROR(SEARCH("Select Market",B25)))</formula>
    </cfRule>
  </conditionalFormatting>
  <conditionalFormatting sqref="B31:B32">
    <cfRule type="cellIs" dxfId="153" priority="150" operator="equal">
      <formula>0</formula>
    </cfRule>
    <cfRule type="containsText" dxfId="152" priority="151" operator="containsText" text="Select Market">
      <formula>NOT(ISERROR(SEARCH("Select Market",B31)))</formula>
    </cfRule>
  </conditionalFormatting>
  <conditionalFormatting sqref="B37:B38">
    <cfRule type="cellIs" dxfId="151" priority="148" operator="equal">
      <formula>0</formula>
    </cfRule>
    <cfRule type="containsText" dxfId="150" priority="149" operator="containsText" text="Select Market">
      <formula>NOT(ISERROR(SEARCH("Select Market",B37)))</formula>
    </cfRule>
  </conditionalFormatting>
  <conditionalFormatting sqref="B12:E12 B13:C13">
    <cfRule type="cellIs" dxfId="149" priority="165" operator="equal">
      <formula>0</formula>
    </cfRule>
  </conditionalFormatting>
  <conditionalFormatting sqref="B18:E18">
    <cfRule type="cellIs" dxfId="148" priority="6" operator="equal">
      <formula>0</formula>
    </cfRule>
  </conditionalFormatting>
  <conditionalFormatting sqref="B24:E24">
    <cfRule type="cellIs" dxfId="147" priority="3" operator="equal">
      <formula>0</formula>
    </cfRule>
  </conditionalFormatting>
  <conditionalFormatting sqref="B30:E30">
    <cfRule type="cellIs" dxfId="146" priority="2" operator="equal">
      <formula>0</formula>
    </cfRule>
  </conditionalFormatting>
  <conditionalFormatting sqref="B36:E36">
    <cfRule type="cellIs" dxfId="145" priority="1" operator="equal">
      <formula>0</formula>
    </cfRule>
  </conditionalFormatting>
  <conditionalFormatting sqref="C13">
    <cfRule type="containsText" dxfId="144" priority="142" operator="containsText" text="Select Market">
      <formula>NOT(ISERROR(SEARCH("Select Market",C13)))</formula>
    </cfRule>
  </conditionalFormatting>
  <conditionalFormatting sqref="C14:C16">
    <cfRule type="cellIs" dxfId="143" priority="127" operator="equal">
      <formula>0</formula>
    </cfRule>
  </conditionalFormatting>
  <conditionalFormatting sqref="C19">
    <cfRule type="containsText" dxfId="142" priority="140" operator="containsText" text="Select Market">
      <formula>NOT(ISERROR(SEARCH("Select Market",C19)))</formula>
    </cfRule>
  </conditionalFormatting>
  <conditionalFormatting sqref="C20:C22">
    <cfRule type="cellIs" dxfId="141" priority="126" operator="equal">
      <formula>0</formula>
    </cfRule>
  </conditionalFormatting>
  <conditionalFormatting sqref="C25">
    <cfRule type="containsText" dxfId="140" priority="138" operator="containsText" text="Select Market">
      <formula>NOT(ISERROR(SEARCH("Select Market",C25)))</formula>
    </cfRule>
  </conditionalFormatting>
  <conditionalFormatting sqref="C26:C28">
    <cfRule type="cellIs" dxfId="139" priority="125" operator="equal">
      <formula>0</formula>
    </cfRule>
  </conditionalFormatting>
  <conditionalFormatting sqref="C31">
    <cfRule type="containsText" dxfId="138" priority="136" operator="containsText" text="Select Market">
      <formula>NOT(ISERROR(SEARCH("Select Market",C31)))</formula>
    </cfRule>
  </conditionalFormatting>
  <conditionalFormatting sqref="C32:C34">
    <cfRule type="cellIs" dxfId="137" priority="124" operator="equal">
      <formula>0</formula>
    </cfRule>
  </conditionalFormatting>
  <conditionalFormatting sqref="C37">
    <cfRule type="containsText" dxfId="136" priority="134" operator="containsText" text="Select Market">
      <formula>NOT(ISERROR(SEARCH("Select Market",C37)))</formula>
    </cfRule>
  </conditionalFormatting>
  <conditionalFormatting sqref="C38:C40">
    <cfRule type="cellIs" dxfId="135" priority="123" operator="equal">
      <formula>0</formula>
    </cfRule>
  </conditionalFormatting>
  <conditionalFormatting sqref="C19:D19">
    <cfRule type="cellIs" dxfId="134" priority="141" operator="equal">
      <formula>0</formula>
    </cfRule>
  </conditionalFormatting>
  <conditionalFormatting sqref="C25:D25">
    <cfRule type="cellIs" dxfId="133" priority="139" operator="equal">
      <formula>0</formula>
    </cfRule>
  </conditionalFormatting>
  <conditionalFormatting sqref="C31:D31">
    <cfRule type="cellIs" dxfId="132" priority="137" operator="equal">
      <formula>0</formula>
    </cfRule>
  </conditionalFormatting>
  <conditionalFormatting sqref="C37:D37">
    <cfRule type="cellIs" dxfId="131" priority="135" operator="equal">
      <formula>0</formula>
    </cfRule>
  </conditionalFormatting>
  <conditionalFormatting sqref="J10">
    <cfRule type="cellIs" dxfId="130" priority="166" operator="lessThanOrEqual">
      <formula>0</formula>
    </cfRule>
  </conditionalFormatting>
  <conditionalFormatting sqref="J13">
    <cfRule type="cellIs" dxfId="129" priority="1238" operator="lessThanOrEqual">
      <formula>0</formula>
    </cfRule>
  </conditionalFormatting>
  <conditionalFormatting sqref="J19">
    <cfRule type="cellIs" dxfId="128" priority="628" operator="lessThanOrEqual">
      <formula>0</formula>
    </cfRule>
  </conditionalFormatting>
  <conditionalFormatting sqref="J25">
    <cfRule type="cellIs" dxfId="127" priority="605" operator="lessThanOrEqual">
      <formula>0</formula>
    </cfRule>
  </conditionalFormatting>
  <conditionalFormatting sqref="J31">
    <cfRule type="cellIs" dxfId="126" priority="582" operator="lessThanOrEqual">
      <formula>0</formula>
    </cfRule>
  </conditionalFormatting>
  <conditionalFormatting sqref="J37">
    <cfRule type="cellIs" dxfId="125" priority="559" operator="lessThanOrEqual">
      <formula>0</formula>
    </cfRule>
  </conditionalFormatting>
  <conditionalFormatting sqref="J19:K19">
    <cfRule type="containsBlanks" dxfId="124" priority="42">
      <formula>LEN(TRIM(J19))=0</formula>
    </cfRule>
  </conditionalFormatting>
  <conditionalFormatting sqref="J7:L9">
    <cfRule type="cellIs" dxfId="123" priority="167" operator="lessThanOrEqual">
      <formula>0</formula>
    </cfRule>
  </conditionalFormatting>
  <conditionalFormatting sqref="J13:L13">
    <cfRule type="containsBlanks" dxfId="122" priority="50">
      <formula>LEN(TRIM(J13))=0</formula>
    </cfRule>
  </conditionalFormatting>
  <conditionalFormatting sqref="J14:L15">
    <cfRule type="cellIs" dxfId="121" priority="1556" operator="lessThanOrEqual">
      <formula>0</formula>
    </cfRule>
  </conditionalFormatting>
  <conditionalFormatting sqref="J20:L21">
    <cfRule type="cellIs" dxfId="120" priority="642" operator="lessThanOrEqual">
      <formula>0</formula>
    </cfRule>
  </conditionalFormatting>
  <conditionalFormatting sqref="J25:L25">
    <cfRule type="containsBlanks" dxfId="119" priority="26">
      <formula>LEN(TRIM(J25))=0</formula>
    </cfRule>
  </conditionalFormatting>
  <conditionalFormatting sqref="J26:L27">
    <cfRule type="cellIs" dxfId="118" priority="619" operator="lessThanOrEqual">
      <formula>0</formula>
    </cfRule>
  </conditionalFormatting>
  <conditionalFormatting sqref="J31:L31">
    <cfRule type="containsBlanks" dxfId="117" priority="18">
      <formula>LEN(TRIM(J31))=0</formula>
    </cfRule>
  </conditionalFormatting>
  <conditionalFormatting sqref="J32:L33">
    <cfRule type="cellIs" dxfId="116" priority="596" operator="lessThanOrEqual">
      <formula>0</formula>
    </cfRule>
  </conditionalFormatting>
  <conditionalFormatting sqref="J37:L37">
    <cfRule type="containsBlanks" dxfId="115" priority="10">
      <formula>LEN(TRIM(J37))=0</formula>
    </cfRule>
  </conditionalFormatting>
  <conditionalFormatting sqref="J38:L39">
    <cfRule type="cellIs" dxfId="114" priority="573" operator="lessThanOrEqual">
      <formula>0</formula>
    </cfRule>
  </conditionalFormatting>
  <conditionalFormatting sqref="K19">
    <cfRule type="expression" dxfId="113" priority="41">
      <formula>IF(K22&lt;4%,1,0)</formula>
    </cfRule>
    <cfRule type="expression" dxfId="112" priority="43">
      <formula>IF(K22&lt;11%,1,0)</formula>
    </cfRule>
    <cfRule type="expression" dxfId="111" priority="44">
      <formula>IF(K22&lt;21%,1,0)</formula>
    </cfRule>
    <cfRule type="expression" dxfId="110" priority="45">
      <formula>IF(K22&lt;41%,1,0)</formula>
    </cfRule>
    <cfRule type="expression" dxfId="109" priority="46">
      <formula>IF($L$16="NEGATIVE GROWTH",1,0)</formula>
    </cfRule>
    <cfRule type="expression" dxfId="108" priority="47">
      <formula>IF(K22&gt;40%,1,0)</formula>
    </cfRule>
  </conditionalFormatting>
  <conditionalFormatting sqref="K10:L10">
    <cfRule type="containsText" dxfId="107" priority="122" operator="containsText" text="NEGATIVE GROWTH">
      <formula>NOT(ISERROR(SEARCH("NEGATIVE GROWTH",K10)))</formula>
    </cfRule>
    <cfRule type="cellIs" dxfId="106" priority="201" operator="equal">
      <formula>0</formula>
    </cfRule>
    <cfRule type="expression" dxfId="105" priority="202">
      <formula>IF(K10&lt;4%,1,0)</formula>
    </cfRule>
    <cfRule type="expression" dxfId="104" priority="203">
      <formula>IF(K10&lt;11%,1,0)</formula>
    </cfRule>
    <cfRule type="expression" dxfId="103" priority="204">
      <formula>IF(K10&lt;21%,1,0)</formula>
    </cfRule>
    <cfRule type="expression" dxfId="102" priority="205">
      <formula>IF(K10&lt;41%,1,0)</formula>
    </cfRule>
    <cfRule type="expression" dxfId="101" priority="206">
      <formula>IF(K10&gt;40%,1,0)</formula>
    </cfRule>
  </conditionalFormatting>
  <conditionalFormatting sqref="K13:L13">
    <cfRule type="containsBlanks" dxfId="100" priority="48">
      <formula>LEN(TRIM(K13))=0</formula>
    </cfRule>
    <cfRule type="expression" dxfId="99" priority="49">
      <formula>IF(K16&lt;4%,1,0)</formula>
    </cfRule>
    <cfRule type="expression" dxfId="98" priority="1224">
      <formula>IF(K16&lt;11%,1,0)</formula>
    </cfRule>
    <cfRule type="expression" dxfId="97" priority="1239">
      <formula>IF(K16&lt;21%,1,0)</formula>
    </cfRule>
    <cfRule type="expression" dxfId="96" priority="1240">
      <formula>IF(K16&lt;41%,1,0)</formula>
    </cfRule>
    <cfRule type="expression" dxfId="95" priority="1242">
      <formula>IF($L$16="NEGATIVE GROWTH",1,0)</formula>
    </cfRule>
    <cfRule type="expression" dxfId="94" priority="1557">
      <formula>IF(K16&gt;40%,1,0)</formula>
    </cfRule>
  </conditionalFormatting>
  <conditionalFormatting sqref="K16:L16">
    <cfRule type="containsText" dxfId="93" priority="80" operator="containsText" text="NEGATIVE GROWTH">
      <formula>NOT(ISERROR(SEARCH("NEGATIVE GROWTH",K16)))</formula>
    </cfRule>
    <cfRule type="cellIs" dxfId="92" priority="81" operator="equal">
      <formula>0</formula>
    </cfRule>
    <cfRule type="expression" dxfId="91" priority="82">
      <formula>IF(K16&lt;4%,1,0)</formula>
    </cfRule>
    <cfRule type="expression" dxfId="90" priority="83">
      <formula>IF(K16&lt;11%,1,0)</formula>
    </cfRule>
    <cfRule type="expression" dxfId="89" priority="84">
      <formula>IF(K16&lt;21%,1,0)</formula>
    </cfRule>
    <cfRule type="expression" dxfId="88" priority="85">
      <formula>IF(K16&lt;41%,1,0)</formula>
    </cfRule>
    <cfRule type="expression" dxfId="87" priority="86">
      <formula>IF(K16&gt;40%,1,0)</formula>
    </cfRule>
  </conditionalFormatting>
  <conditionalFormatting sqref="K19:L19">
    <cfRule type="containsBlanks" dxfId="86" priority="34">
      <formula>LEN(TRIM(K19))=0</formula>
    </cfRule>
  </conditionalFormatting>
  <conditionalFormatting sqref="K22:L22">
    <cfRule type="containsText" dxfId="85" priority="73" operator="containsText" text="NEGATIVE GROWTH">
      <formula>NOT(ISERROR(SEARCH("NEGATIVE GROWTH",K22)))</formula>
    </cfRule>
    <cfRule type="cellIs" dxfId="84" priority="74" operator="equal">
      <formula>0</formula>
    </cfRule>
    <cfRule type="expression" dxfId="83" priority="75">
      <formula>IF(K22&lt;4%,1,0)</formula>
    </cfRule>
    <cfRule type="expression" dxfId="82" priority="76">
      <formula>IF(K22&lt;11%,1,0)</formula>
    </cfRule>
    <cfRule type="expression" dxfId="81" priority="77">
      <formula>IF(K22&lt;21%,1,0)</formula>
    </cfRule>
    <cfRule type="expression" dxfId="80" priority="78">
      <formula>IF(K22&lt;41%,1,0)</formula>
    </cfRule>
    <cfRule type="expression" dxfId="79" priority="79">
      <formula>IF(K22&gt;40%,1,0)</formula>
    </cfRule>
  </conditionalFormatting>
  <conditionalFormatting sqref="K25:L25">
    <cfRule type="containsBlanks" dxfId="78" priority="24">
      <formula>LEN(TRIM(K25))=0</formula>
    </cfRule>
    <cfRule type="expression" dxfId="77" priority="25">
      <formula>IF(K28&lt;4%,1,0)</formula>
    </cfRule>
    <cfRule type="expression" dxfId="76" priority="27">
      <formula>IF(K28&lt;11%,1,0)</formula>
    </cfRule>
    <cfRule type="expression" dxfId="75" priority="28">
      <formula>IF(K28&lt;21%,1,0)</formula>
    </cfRule>
    <cfRule type="expression" dxfId="74" priority="29">
      <formula>IF(K28&lt;41%,1,0)</formula>
    </cfRule>
    <cfRule type="expression" dxfId="73" priority="30">
      <formula>IF($L$16="NEGATIVE GROWTH",1,0)</formula>
    </cfRule>
    <cfRule type="expression" dxfId="72" priority="31">
      <formula>IF(K28&gt;40%,1,0)</formula>
    </cfRule>
  </conditionalFormatting>
  <conditionalFormatting sqref="K28:L28">
    <cfRule type="containsText" dxfId="71" priority="66" operator="containsText" text="NEGATIVE GROWTH">
      <formula>NOT(ISERROR(SEARCH("NEGATIVE GROWTH",K28)))</formula>
    </cfRule>
    <cfRule type="cellIs" dxfId="70" priority="67" operator="equal">
      <formula>0</formula>
    </cfRule>
    <cfRule type="expression" dxfId="69" priority="68">
      <formula>IF(K28&lt;4%,1,0)</formula>
    </cfRule>
    <cfRule type="expression" dxfId="68" priority="69">
      <formula>IF(K28&lt;11%,1,0)</formula>
    </cfRule>
    <cfRule type="expression" dxfId="67" priority="70">
      <formula>IF(K28&lt;21%,1,0)</formula>
    </cfRule>
    <cfRule type="expression" dxfId="66" priority="71">
      <formula>IF(K28&lt;41%,1,0)</formula>
    </cfRule>
    <cfRule type="expression" dxfId="65" priority="72">
      <formula>IF(K28&gt;40%,1,0)</formula>
    </cfRule>
  </conditionalFormatting>
  <conditionalFormatting sqref="K31:L31">
    <cfRule type="containsBlanks" dxfId="64" priority="16">
      <formula>LEN(TRIM(K31))=0</formula>
    </cfRule>
    <cfRule type="expression" dxfId="63" priority="17">
      <formula>IF(K34&lt;4%,1,0)</formula>
    </cfRule>
    <cfRule type="expression" dxfId="62" priority="19">
      <formula>IF(K34&lt;11%,1,0)</formula>
    </cfRule>
    <cfRule type="expression" dxfId="61" priority="20">
      <formula>IF(K34&lt;21%,1,0)</formula>
    </cfRule>
    <cfRule type="expression" dxfId="60" priority="21">
      <formula>IF(K34&lt;41%,1,0)</formula>
    </cfRule>
    <cfRule type="expression" dxfId="59" priority="22">
      <formula>IF($L$16="NEGATIVE GROWTH",1,0)</formula>
    </cfRule>
    <cfRule type="expression" dxfId="58" priority="23">
      <formula>IF(K34&gt;40%,1,0)</formula>
    </cfRule>
  </conditionalFormatting>
  <conditionalFormatting sqref="K34:L34">
    <cfRule type="containsText" dxfId="57" priority="59" operator="containsText" text="NEGATIVE GROWTH">
      <formula>NOT(ISERROR(SEARCH("NEGATIVE GROWTH",K34)))</formula>
    </cfRule>
    <cfRule type="cellIs" dxfId="56" priority="60" operator="equal">
      <formula>0</formula>
    </cfRule>
    <cfRule type="expression" dxfId="55" priority="61">
      <formula>IF(K34&lt;4%,1,0)</formula>
    </cfRule>
    <cfRule type="expression" dxfId="54" priority="62">
      <formula>IF(K34&lt;11%,1,0)</formula>
    </cfRule>
    <cfRule type="expression" dxfId="53" priority="63">
      <formula>IF(K34&lt;21%,1,0)</formula>
    </cfRule>
    <cfRule type="expression" dxfId="52" priority="64">
      <formula>IF(K34&lt;41%,1,0)</formula>
    </cfRule>
    <cfRule type="expression" dxfId="51" priority="65">
      <formula>IF(K34&gt;40%,1,0)</formula>
    </cfRule>
  </conditionalFormatting>
  <conditionalFormatting sqref="K37:L37">
    <cfRule type="containsBlanks" dxfId="50" priority="8">
      <formula>LEN(TRIM(K37))=0</formula>
    </cfRule>
    <cfRule type="expression" dxfId="49" priority="9">
      <formula>IF(K40&lt;4%,1,0)</formula>
    </cfRule>
    <cfRule type="expression" dxfId="48" priority="11">
      <formula>IF(K40&lt;11%,1,0)</formula>
    </cfRule>
    <cfRule type="expression" dxfId="47" priority="12">
      <formula>IF(K40&lt;21%,1,0)</formula>
    </cfRule>
    <cfRule type="expression" dxfId="46" priority="13">
      <formula>IF(K40&lt;41%,1,0)</formula>
    </cfRule>
    <cfRule type="expression" dxfId="45" priority="14">
      <formula>IF($L$16="NEGATIVE GROWTH",1,0)</formula>
    </cfRule>
    <cfRule type="expression" dxfId="44" priority="15">
      <formula>IF(K40&gt;40%,1,0)</formula>
    </cfRule>
  </conditionalFormatting>
  <conditionalFormatting sqref="K40:L40">
    <cfRule type="containsText" dxfId="43" priority="52" operator="containsText" text="NEGATIVE GROWTH">
      <formula>NOT(ISERROR(SEARCH("NEGATIVE GROWTH",K40)))</formula>
    </cfRule>
    <cfRule type="cellIs" dxfId="42" priority="53" operator="equal">
      <formula>0</formula>
    </cfRule>
    <cfRule type="expression" dxfId="41" priority="54">
      <formula>IF(K40&lt;4%,1,0)</formula>
    </cfRule>
    <cfRule type="expression" dxfId="40" priority="55">
      <formula>IF(K40&lt;11%,1,0)</formula>
    </cfRule>
    <cfRule type="expression" dxfId="39" priority="56">
      <formula>IF(K40&lt;21%,1,0)</formula>
    </cfRule>
    <cfRule type="expression" dxfId="38" priority="57">
      <formula>IF(K40&lt;41%,1,0)</formula>
    </cfRule>
    <cfRule type="expression" dxfId="37" priority="58">
      <formula>IF(K40&gt;40%,1,0)</formula>
    </cfRule>
  </conditionalFormatting>
  <conditionalFormatting sqref="L19">
    <cfRule type="containsBlanks" dxfId="36" priority="32">
      <formula>LEN(TRIM(L19))=0</formula>
    </cfRule>
    <cfRule type="expression" dxfId="35" priority="33">
      <formula>IF(L22&lt;4%,1,0)</formula>
    </cfRule>
    <cfRule type="expression" dxfId="34" priority="35">
      <formula>IF(L22&lt;11%,1,0)</formula>
    </cfRule>
    <cfRule type="expression" dxfId="33" priority="36">
      <formula>IF(L22&lt;21%,1,0)</formula>
    </cfRule>
    <cfRule type="expression" dxfId="32" priority="37">
      <formula>IF(L22&lt;41%,1,0)</formula>
    </cfRule>
    <cfRule type="expression" dxfId="31" priority="38">
      <formula>IF($L$16="NEGATIVE GROWTH",1,0)</formula>
    </cfRule>
    <cfRule type="expression" dxfId="30" priority="39">
      <formula>IF(L22&gt;40%,1,0)</formula>
    </cfRule>
  </conditionalFormatting>
  <hyperlinks>
    <hyperlink ref="A1" location="'Wine Offer Template'!A1" display="Return to Wine Offer Template" xr:uid="{1BE5D3BF-A83B-9C45-A901-2662A06BDA1C}"/>
    <hyperlink ref="A2" location="'Net Revenue'!A1" display="Go to Net Revenue calculatoer" xr:uid="{05EDFA12-AD2E-0346-9040-54C30FC6777B}"/>
    <hyperlink ref="A1:C1" location="Home!A1" display="Return Home" xr:uid="{45DE624D-8100-6E42-86D7-9027F7AF993E}"/>
  </hyperlinks>
  <pageMargins left="0.7" right="0.7" top="0.75" bottom="0.75" header="0.3" footer="0.3"/>
  <ignoredErrors>
    <ignoredError sqref="J13 J19" unlocked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8E1C-A4DF-0B48-9004-121F33C54BD5}">
  <sheetPr codeName="Sheet5">
    <tabColor theme="9"/>
  </sheetPr>
  <dimension ref="A1:P38"/>
  <sheetViews>
    <sheetView topLeftCell="A7" zoomScale="70" zoomScaleNormal="70" workbookViewId="0">
      <selection activeCell="Q11" sqref="Q11:Q15"/>
    </sheetView>
  </sheetViews>
  <sheetFormatPr defaultColWidth="10.83203125" defaultRowHeight="20"/>
  <cols>
    <col min="1" max="1" width="20.58203125" style="3" customWidth="1"/>
    <col min="2" max="2" width="15.5" style="3" customWidth="1"/>
    <col min="3" max="3" width="8.5" style="3" customWidth="1"/>
    <col min="4" max="4" width="49" style="3" customWidth="1"/>
    <col min="5" max="5" width="9.83203125" style="3" bestFit="1" customWidth="1"/>
    <col min="6" max="6" width="20.33203125" style="3" customWidth="1"/>
    <col min="7" max="8" width="17.58203125" style="3" customWidth="1"/>
    <col min="9" max="9" width="10.83203125" style="3"/>
    <col min="10" max="10" width="3.33203125" style="3" customWidth="1"/>
    <col min="11" max="11" width="8.5" style="3" customWidth="1"/>
    <col min="12" max="12" width="17.08203125" style="3" bestFit="1" customWidth="1"/>
    <col min="13" max="14" width="10.83203125" style="3"/>
    <col min="15" max="15" width="12.58203125" style="3" bestFit="1" customWidth="1"/>
    <col min="16" max="16" width="11.08203125" style="3" bestFit="1" customWidth="1"/>
    <col min="17" max="16384" width="10.83203125" style="3"/>
  </cols>
  <sheetData>
    <row r="1" spans="1:16" ht="37" customHeight="1">
      <c r="A1" s="852" t="s">
        <v>234</v>
      </c>
      <c r="B1" s="852"/>
      <c r="C1" s="852"/>
    </row>
    <row r="2" spans="1:16" ht="37" customHeight="1">
      <c r="A2" s="851" t="s">
        <v>207</v>
      </c>
      <c r="B2" s="851"/>
      <c r="C2" s="851"/>
    </row>
    <row r="3" spans="1:16" s="86" customFormat="1" ht="25.5">
      <c r="B3" s="324" t="s">
        <v>139</v>
      </c>
      <c r="C3" s="325"/>
      <c r="D3" s="325"/>
      <c r="E3" s="325"/>
      <c r="F3" s="324" t="s">
        <v>589</v>
      </c>
      <c r="G3" s="324" t="s">
        <v>593</v>
      </c>
      <c r="H3" s="324" t="s">
        <v>594</v>
      </c>
    </row>
    <row r="4" spans="1:16" s="41" customFormat="1">
      <c r="B4" s="3" t="s">
        <v>223</v>
      </c>
      <c r="C4" s="3"/>
      <c r="D4" s="3"/>
      <c r="E4" s="3"/>
      <c r="F4" s="32">
        <f>'Sales Plan'!J8</f>
        <v>0</v>
      </c>
      <c r="G4" s="32">
        <f>'Sales Plan'!K8</f>
        <v>0</v>
      </c>
      <c r="H4" s="32">
        <f>'Sales Plan'!L8</f>
        <v>0</v>
      </c>
    </row>
    <row r="5" spans="1:16">
      <c r="B5" s="3" t="s">
        <v>221</v>
      </c>
      <c r="F5" s="50">
        <f>-F4+F6</f>
        <v>0</v>
      </c>
      <c r="G5" s="50">
        <f t="shared" ref="G5:H5" si="0">-G4+G6</f>
        <v>0</v>
      </c>
      <c r="H5" s="50">
        <f t="shared" si="0"/>
        <v>0</v>
      </c>
    </row>
    <row r="6" spans="1:16">
      <c r="B6" s="140" t="s">
        <v>222</v>
      </c>
      <c r="C6" s="140"/>
      <c r="D6" s="140"/>
      <c r="E6" s="140"/>
      <c r="F6" s="141">
        <f>'Sales Plan'!J9</f>
        <v>0</v>
      </c>
      <c r="G6" s="141">
        <f>'Sales Plan'!K9</f>
        <v>0</v>
      </c>
      <c r="H6" s="141">
        <f>'Sales Plan'!L9</f>
        <v>0</v>
      </c>
      <c r="P6" s="32"/>
    </row>
    <row r="8" spans="1:16" s="41" customFormat="1">
      <c r="B8" s="49" t="s">
        <v>147</v>
      </c>
      <c r="F8" s="79"/>
      <c r="G8" s="79"/>
      <c r="H8" s="79"/>
    </row>
    <row r="9" spans="1:16" ht="20.5">
      <c r="C9" s="3" t="s">
        <v>137</v>
      </c>
      <c r="D9" s="87"/>
    </row>
    <row r="10" spans="1:16" ht="20.5">
      <c r="D10" s="87" t="s">
        <v>512</v>
      </c>
      <c r="F10" s="33">
        <f>((COUNTIF(Home!$B$11:$B$15,"&lt;&gt;Product Brand ?")-COUNTBLANK(Home!$B$11:$B$15))*28)</f>
        <v>0</v>
      </c>
      <c r="G10" s="33">
        <f>((COUNTIF(Home!$B$11:$B$15,"&lt;&gt;Product Brand ?")-COUNTBLANK(Home!$B$11:$B$15))*28)</f>
        <v>0</v>
      </c>
      <c r="H10" s="33">
        <f>((COUNTIF(Home!$B$11:$B$15,"&lt;&gt;Product Brand ?")-COUNTBLANK(Home!$B$11:$B$15))*28)</f>
        <v>0</v>
      </c>
    </row>
    <row r="11" spans="1:16" ht="20.5">
      <c r="D11" s="87" t="s">
        <v>513</v>
      </c>
      <c r="F11" s="353" t="str">
        <f>IF(F4=0,"NIL",IF(F4&lt;20000000,F4*0.002,IF(F4&lt;70000000,40000+(F4-20000000)*0.001,IF(F4&gt;70000001,90000+(F4-70000000)*0.0005,"ERROR"))))</f>
        <v>NIL</v>
      </c>
      <c r="G11" s="353" t="str">
        <f>IF(G4=0,"NIL",IF(G4&lt;20000000,G4*0.002,IF(G4&lt;70000000,40000+(G4-20000000)*0.001,IF(G4&gt;70000001,90000+(G4-70000000)*0.0005,"ERROR"))))</f>
        <v>NIL</v>
      </c>
      <c r="H11" s="353" t="str">
        <f>IF(H4=0,"NIL",IF(H4&lt;20000000,H4*0.002,IF(H4&lt;70000000,40000+(H4-20000000)*0.001,IF(H4&gt;70000001,90000+(H4-70000000)*0.0005,"ERROR"))))</f>
        <v>NIL</v>
      </c>
    </row>
    <row r="12" spans="1:16" ht="20.5">
      <c r="D12" s="87" t="s">
        <v>514</v>
      </c>
      <c r="F12" s="32">
        <v>700</v>
      </c>
      <c r="G12" s="32">
        <v>700</v>
      </c>
      <c r="H12" s="32">
        <v>700</v>
      </c>
    </row>
    <row r="13" spans="1:16" ht="20.5">
      <c r="D13" s="87" t="s">
        <v>515</v>
      </c>
      <c r="F13" s="26"/>
      <c r="G13" s="26"/>
      <c r="H13" s="26"/>
    </row>
    <row r="14" spans="1:16" ht="20.5" thickBot="1">
      <c r="C14" s="3" t="s">
        <v>488</v>
      </c>
      <c r="F14" s="26"/>
      <c r="G14" s="26"/>
      <c r="H14" s="26"/>
    </row>
    <row r="15" spans="1:16">
      <c r="C15" s="3" t="s">
        <v>516</v>
      </c>
      <c r="D15" s="344"/>
      <c r="E15" s="345"/>
      <c r="F15" s="32">
        <f>$E15*('Sales Plan'!J13+'Sales Plan'!J19+'Sales Plan'!J25+'Sales Plan'!J31+'Sales Plan'!J37)</f>
        <v>0</v>
      </c>
      <c r="G15" s="32">
        <f>$E15*('Sales Plan'!K13+'Sales Plan'!K19+'Sales Plan'!K25+'Sales Plan'!K31+'Sales Plan'!K37)</f>
        <v>0</v>
      </c>
      <c r="H15" s="32">
        <f>$E15*('Sales Plan'!L13+'Sales Plan'!L19+'Sales Plan'!L25+'Sales Plan'!L31+'Sales Plan'!L37)</f>
        <v>0</v>
      </c>
      <c r="J15" s="871" t="s">
        <v>521</v>
      </c>
      <c r="K15" s="872"/>
      <c r="L15" s="872"/>
      <c r="M15" s="872"/>
      <c r="N15" s="873"/>
    </row>
    <row r="16" spans="1:16">
      <c r="C16" s="3" t="s">
        <v>517</v>
      </c>
      <c r="F16" s="25">
        <v>0</v>
      </c>
      <c r="G16" s="25">
        <v>0</v>
      </c>
      <c r="H16" s="25">
        <v>0</v>
      </c>
      <c r="J16" s="346"/>
      <c r="K16" s="347">
        <v>2E-3</v>
      </c>
      <c r="L16" s="3" t="s">
        <v>492</v>
      </c>
      <c r="N16" s="348"/>
    </row>
    <row r="17" spans="2:15">
      <c r="C17" s="3" t="s">
        <v>187</v>
      </c>
      <c r="F17" s="25"/>
      <c r="G17" s="25"/>
      <c r="H17" s="25"/>
      <c r="J17" s="346" t="s">
        <v>495</v>
      </c>
      <c r="K17" s="347">
        <v>1E-3</v>
      </c>
      <c r="L17" s="3" t="s">
        <v>493</v>
      </c>
      <c r="N17" s="348"/>
    </row>
    <row r="18" spans="2:15" ht="20.5" thickBot="1">
      <c r="C18" s="3" t="s">
        <v>70</v>
      </c>
      <c r="F18" s="33">
        <f>(((Home!$F$21-Home!$N$11)*'Sales Plan'!J13)+((Home!$F$22-Home!$N$12)*'Sales Plan'!J19)+((Home!$F$23-Home!$N$13)*'Sales Plan'!J25)+((Home!$F$24-Home!$N$14)*'Sales Plan'!J31)+((Home!$F$25-Home!$N$15)*'Sales Plan'!J37))</f>
        <v>0</v>
      </c>
      <c r="G18" s="33">
        <f>(((Home!$F$21-Home!$N$11)*'Sales Plan'!K13)+((Home!$F$22-Home!$N$12)*'Sales Plan'!K19)+((Home!$F$23-Home!$N$13)*'Sales Plan'!K25)+((Home!$F$24-Home!$N$14)*'Sales Plan'!K31)+((Home!$F$25-Home!$N$15)*'Sales Plan'!K37))</f>
        <v>0</v>
      </c>
      <c r="H18" s="33">
        <f>(((Home!$F$21-Home!$N$11)*'Sales Plan'!L13)+((Home!$F$22-Home!$N$12)*'Sales Plan'!L19)+((Home!$F$23-Home!$N$13)*'Sales Plan'!L25)+((Home!$F$24-Home!$N$14)*'Sales Plan'!L31)+((Home!$F$25-Home!$N$15)*'Sales Plan'!L37))</f>
        <v>0</v>
      </c>
      <c r="J18" s="349" t="s">
        <v>495</v>
      </c>
      <c r="K18" s="350">
        <v>5.0000000000000001E-4</v>
      </c>
      <c r="L18" s="351" t="s">
        <v>494</v>
      </c>
      <c r="M18" s="351"/>
      <c r="N18" s="352"/>
      <c r="O18" s="32"/>
    </row>
    <row r="19" spans="2:15">
      <c r="C19" s="3" t="s">
        <v>518</v>
      </c>
      <c r="F19" s="26"/>
      <c r="G19" s="26"/>
      <c r="H19" s="26"/>
    </row>
    <row r="20" spans="2:15">
      <c r="C20" s="3" t="s">
        <v>519</v>
      </c>
      <c r="F20" s="26"/>
      <c r="G20" s="26"/>
      <c r="H20" s="26"/>
    </row>
    <row r="21" spans="2:15">
      <c r="C21" s="3" t="s">
        <v>136</v>
      </c>
      <c r="F21" s="26"/>
      <c r="G21" s="26"/>
      <c r="H21" s="26"/>
      <c r="L21" s="149"/>
    </row>
    <row r="22" spans="2:15">
      <c r="C22" s="3" t="s">
        <v>214</v>
      </c>
      <c r="F22" s="26"/>
      <c r="G22" s="26"/>
      <c r="H22" s="26"/>
    </row>
    <row r="23" spans="2:15">
      <c r="C23" s="3" t="s">
        <v>142</v>
      </c>
      <c r="F23" s="25"/>
      <c r="G23" s="25"/>
      <c r="H23" s="25"/>
    </row>
    <row r="24" spans="2:15">
      <c r="C24" s="3" t="s">
        <v>520</v>
      </c>
      <c r="F24" s="25"/>
      <c r="G24" s="25"/>
      <c r="H24" s="25"/>
      <c r="L24" s="46"/>
    </row>
    <row r="25" spans="2:15">
      <c r="C25" s="105" t="s">
        <v>61</v>
      </c>
      <c r="F25" s="26"/>
      <c r="G25" s="26"/>
      <c r="H25" s="26"/>
    </row>
    <row r="26" spans="2:15">
      <c r="C26" s="105" t="s">
        <v>61</v>
      </c>
      <c r="D26" s="80"/>
      <c r="F26" s="25"/>
      <c r="G26" s="25"/>
      <c r="H26" s="25"/>
    </row>
    <row r="27" spans="2:15">
      <c r="C27" s="105" t="s">
        <v>61</v>
      </c>
      <c r="D27" s="80"/>
      <c r="F27" s="25"/>
      <c r="G27" s="25"/>
      <c r="H27" s="25"/>
    </row>
    <row r="28" spans="2:15">
      <c r="C28" s="105" t="s">
        <v>61</v>
      </c>
      <c r="D28" s="80"/>
      <c r="F28" s="25"/>
      <c r="G28" s="25"/>
      <c r="H28" s="25"/>
    </row>
    <row r="29" spans="2:15" s="41" customFormat="1">
      <c r="B29" s="81" t="s">
        <v>138</v>
      </c>
      <c r="C29" s="77"/>
      <c r="D29" s="77"/>
      <c r="E29" s="77"/>
      <c r="F29" s="78">
        <f>SUM(F8:F28)</f>
        <v>700</v>
      </c>
      <c r="G29" s="78">
        <f>SUM(G8:G28)</f>
        <v>700</v>
      </c>
      <c r="H29" s="78">
        <f>SUM(H8:H28)</f>
        <v>700</v>
      </c>
      <c r="L29" s="111"/>
    </row>
    <row r="30" spans="2:15" s="49" customFormat="1" ht="20.5" thickBot="1">
      <c r="B30" s="82" t="s">
        <v>148</v>
      </c>
      <c r="C30" s="82"/>
      <c r="D30" s="82"/>
      <c r="E30" s="82"/>
      <c r="F30" s="83">
        <f>F6-F29</f>
        <v>-700</v>
      </c>
      <c r="G30" s="83">
        <f>G6-G29</f>
        <v>-700</v>
      </c>
      <c r="H30" s="83">
        <f>H6-H29</f>
        <v>-700</v>
      </c>
      <c r="L30" s="84"/>
    </row>
    <row r="31" spans="2:15" ht="20.5" thickTop="1"/>
    <row r="32" spans="2:15" s="49" customFormat="1">
      <c r="B32" s="49" t="s">
        <v>149</v>
      </c>
      <c r="E32" s="112">
        <v>0.1</v>
      </c>
      <c r="F32" s="303">
        <f>((F4*(1/(1+$E$32)))+F5)-F29</f>
        <v>-700</v>
      </c>
      <c r="G32" s="303">
        <f>((G4*(1/(1+$E$32)))+G5)-G29</f>
        <v>-700</v>
      </c>
      <c r="H32" s="303">
        <f>((H4*(1/(1+$E$32)))+H5)-H29</f>
        <v>-700</v>
      </c>
    </row>
    <row r="33" spans="2:8" s="49" customFormat="1">
      <c r="E33" s="120"/>
      <c r="F33" s="84"/>
      <c r="G33" s="84"/>
      <c r="H33" s="84"/>
    </row>
    <row r="34" spans="2:8" s="41" customFormat="1">
      <c r="B34" s="110"/>
      <c r="F34" s="79"/>
      <c r="G34" s="79"/>
      <c r="H34" s="111"/>
    </row>
    <row r="35" spans="2:8">
      <c r="B35" s="71" t="s">
        <v>143</v>
      </c>
    </row>
    <row r="36" spans="2:8" ht="71.150000000000006" customHeight="1">
      <c r="B36" s="860" t="s">
        <v>154</v>
      </c>
      <c r="C36" s="860"/>
      <c r="D36" s="860"/>
      <c r="E36" s="860"/>
      <c r="F36" s="860"/>
      <c r="G36" s="860"/>
      <c r="H36" s="860"/>
    </row>
    <row r="38" spans="2:8" ht="119.15" customHeight="1">
      <c r="B38" s="870" t="s">
        <v>601</v>
      </c>
      <c r="C38" s="870"/>
      <c r="D38" s="870"/>
      <c r="E38" s="870"/>
      <c r="F38" s="870"/>
      <c r="G38" s="870"/>
      <c r="H38" s="870"/>
    </row>
  </sheetData>
  <sheetProtection algorithmName="SHA-512" hashValue="d80cPNlrP9F7T8mzAcfV5HqIa13sVQFRM0nHNsjkmoRPK+VrTUndFgcjdfVU/FyUh6ud25OHmnS+TqmrmNVDhg==" saltValue="M4ACS/RsjMCnReEvXXQzwg==" spinCount="100000" sheet="1" objects="1" scenarios="1"/>
  <mergeCells count="5">
    <mergeCell ref="A2:C2"/>
    <mergeCell ref="A1:C1"/>
    <mergeCell ref="B36:H36"/>
    <mergeCell ref="B38:H38"/>
    <mergeCell ref="J15:N15"/>
  </mergeCells>
  <conditionalFormatting sqref="C25:C28">
    <cfRule type="beginsWith" dxfId="29" priority="9" operator="beginsWith" text="Other">
      <formula>LEFT(C25,LEN("Other"))="Other"</formula>
    </cfRule>
  </conditionalFormatting>
  <conditionalFormatting sqref="E15">
    <cfRule type="containsBlanks" dxfId="28" priority="1">
      <formula>LEN(TRIM(E15))=0</formula>
    </cfRule>
  </conditionalFormatting>
  <conditionalFormatting sqref="F4:H4 F34:H34">
    <cfRule type="cellIs" dxfId="27" priority="8" operator="equal">
      <formula>0</formula>
    </cfRule>
  </conditionalFormatting>
  <conditionalFormatting sqref="F8:H13">
    <cfRule type="cellIs" dxfId="26" priority="6" operator="equal">
      <formula>0</formula>
    </cfRule>
  </conditionalFormatting>
  <conditionalFormatting sqref="F13:H13">
    <cfRule type="containsBlanks" dxfId="25" priority="11">
      <formula>LEN(TRIM(F13))=0</formula>
    </cfRule>
  </conditionalFormatting>
  <conditionalFormatting sqref="F13:H14">
    <cfRule type="containsBlanks" dxfId="24" priority="4">
      <formula>LEN(TRIM(F13))=0</formula>
    </cfRule>
  </conditionalFormatting>
  <conditionalFormatting sqref="F16:H28">
    <cfRule type="containsBlanks" dxfId="23" priority="10">
      <formula>LEN(TRIM(F16))=0</formula>
    </cfRule>
  </conditionalFormatting>
  <conditionalFormatting sqref="F18:H18">
    <cfRule type="cellIs" dxfId="22" priority="7" operator="equal">
      <formula>0</formula>
    </cfRule>
  </conditionalFormatting>
  <hyperlinks>
    <hyperlink ref="A1" location="'Wine Offer Template'!A1" display="Return to Wine Offer Template" xr:uid="{A9487A8D-17C1-F24A-9DCC-FBD08BDE354B}"/>
    <hyperlink ref="A2" location="'Gross Revenue'!A1" display="Return to Gross revenue calculator" xr:uid="{5F59DA23-3ACB-A044-957B-4E8E2FC5B807}"/>
    <hyperlink ref="A2:C2" location="'Sales Plan'!A1" display="Return to Sales Plan" xr:uid="{C41FFAA7-F936-AC42-B0DE-DCD7E399EDF8}"/>
    <hyperlink ref="A1:C1" location="Home!A1" display="Return Home" xr:uid="{8A1914A4-1C05-6E40-B1F3-AF43BEA55ECF}"/>
  </hyperlink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C3071D30-D443-3B4E-ADB4-E86A594C4324}">
          <x14:formula1>
            <xm:f>Data!$F$4:$F$7</xm:f>
          </x14:formula1>
          <xm:sqref>E33</xm:sqref>
        </x14:dataValidation>
        <x14:dataValidation type="list" allowBlank="1" showInputMessage="1" showErrorMessage="1" xr:uid="{123BFBE6-8FA0-B641-993B-AC13552198E5}">
          <x14:formula1>
            <xm:f>Data!$F$4:$F$9</xm:f>
          </x14:formula1>
          <xm:sqref>E32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6F5C3-CCF5-E247-B267-AA1FA602ED89}">
  <sheetPr codeName="Sheet6">
    <tabColor theme="9"/>
  </sheetPr>
  <dimension ref="A1:J23"/>
  <sheetViews>
    <sheetView topLeftCell="A4" workbookViewId="0">
      <selection activeCell="Q11" sqref="Q11:Q15"/>
    </sheetView>
  </sheetViews>
  <sheetFormatPr defaultColWidth="10.83203125" defaultRowHeight="15.5"/>
  <cols>
    <col min="1" max="1" width="4.5" style="123" customWidth="1"/>
    <col min="2" max="2" width="31.08203125" style="123" customWidth="1"/>
    <col min="3" max="3" width="11.08203125" style="123" customWidth="1"/>
    <col min="4" max="4" width="36.5" style="123" customWidth="1"/>
    <col min="5" max="5" width="37.58203125" style="123" customWidth="1"/>
    <col min="6" max="6" width="10.83203125" style="123"/>
    <col min="7" max="7" width="28.33203125" style="123" customWidth="1"/>
    <col min="8" max="8" width="11" style="123" customWidth="1"/>
    <col min="9" max="9" width="36" style="123" customWidth="1"/>
    <col min="10" max="10" width="37.58203125" style="123" customWidth="1"/>
    <col min="11" max="11" width="10.83203125" style="123"/>
    <col min="12" max="12" width="11" style="123" customWidth="1"/>
    <col min="13" max="16384" width="10.83203125" style="123"/>
  </cols>
  <sheetData>
    <row r="1" spans="1:10" s="121" customFormat="1" ht="37" customHeight="1">
      <c r="A1" s="861" t="s">
        <v>234</v>
      </c>
      <c r="B1" s="861"/>
      <c r="C1" s="861"/>
    </row>
    <row r="2" spans="1:10" s="121" customFormat="1" ht="37" customHeight="1">
      <c r="A2" s="861" t="s">
        <v>206</v>
      </c>
      <c r="B2" s="861"/>
      <c r="C2" s="861"/>
    </row>
    <row r="3" spans="1:10" ht="16" thickBot="1">
      <c r="A3" s="122"/>
    </row>
    <row r="4" spans="1:10" ht="36" customHeight="1" thickBot="1">
      <c r="B4" s="874" t="s">
        <v>185</v>
      </c>
      <c r="C4" s="875"/>
      <c r="D4" s="875"/>
      <c r="E4" s="876"/>
      <c r="G4" s="874" t="s">
        <v>184</v>
      </c>
      <c r="H4" s="875"/>
      <c r="I4" s="875"/>
      <c r="J4" s="876"/>
    </row>
    <row r="5" spans="1:10" s="124" customFormat="1" ht="40" customHeight="1" thickBot="1">
      <c r="B5" s="125" t="s">
        <v>155</v>
      </c>
      <c r="C5" s="126" t="s">
        <v>156</v>
      </c>
      <c r="D5" s="127" t="s">
        <v>157</v>
      </c>
      <c r="E5" s="126" t="s">
        <v>158</v>
      </c>
      <c r="G5" s="125" t="s">
        <v>155</v>
      </c>
      <c r="H5" s="126" t="s">
        <v>156</v>
      </c>
      <c r="I5" s="127" t="s">
        <v>157</v>
      </c>
      <c r="J5" s="126" t="s">
        <v>158</v>
      </c>
    </row>
    <row r="6" spans="1:10" ht="75" customHeight="1" thickBot="1">
      <c r="B6" s="128" t="s">
        <v>159</v>
      </c>
      <c r="C6" s="129" t="s">
        <v>160</v>
      </c>
      <c r="D6" s="130" t="s">
        <v>161</v>
      </c>
      <c r="E6" s="130" t="s">
        <v>162</v>
      </c>
      <c r="G6" s="85"/>
      <c r="H6" s="85"/>
      <c r="I6" s="85"/>
      <c r="J6" s="85"/>
    </row>
    <row r="7" spans="1:10" ht="75" customHeight="1" thickBot="1">
      <c r="B7" s="131" t="s">
        <v>163</v>
      </c>
      <c r="C7" s="132" t="s">
        <v>164</v>
      </c>
      <c r="D7" s="133" t="s">
        <v>165</v>
      </c>
      <c r="E7" s="134" t="s">
        <v>166</v>
      </c>
      <c r="G7" s="85"/>
      <c r="H7" s="85"/>
      <c r="I7" s="85"/>
      <c r="J7" s="85"/>
    </row>
    <row r="8" spans="1:10" ht="75" customHeight="1" thickBot="1">
      <c r="B8" s="131" t="s">
        <v>167</v>
      </c>
      <c r="C8" s="132" t="s">
        <v>164</v>
      </c>
      <c r="D8" s="134" t="s">
        <v>522</v>
      </c>
      <c r="E8" s="134" t="s">
        <v>168</v>
      </c>
      <c r="G8" s="85"/>
      <c r="H8" s="85"/>
      <c r="I8" s="85"/>
      <c r="J8" s="85"/>
    </row>
    <row r="9" spans="1:10" ht="75" customHeight="1" thickBot="1">
      <c r="B9" s="131" t="s">
        <v>169</v>
      </c>
      <c r="C9" s="132" t="s">
        <v>170</v>
      </c>
      <c r="D9" s="134" t="s">
        <v>186</v>
      </c>
      <c r="E9" s="134" t="s">
        <v>213</v>
      </c>
      <c r="G9" s="85"/>
      <c r="H9" s="85"/>
      <c r="I9" s="85"/>
      <c r="J9" s="85"/>
    </row>
    <row r="10" spans="1:10" ht="75" customHeight="1" thickBot="1">
      <c r="B10" s="131" t="s">
        <v>171</v>
      </c>
      <c r="C10" s="132" t="s">
        <v>170</v>
      </c>
      <c r="D10" s="134" t="s">
        <v>172</v>
      </c>
      <c r="E10" s="134" t="s">
        <v>173</v>
      </c>
      <c r="G10" s="85"/>
      <c r="H10" s="85"/>
      <c r="I10" s="85"/>
      <c r="J10" s="85"/>
    </row>
    <row r="11" spans="1:10" ht="75" customHeight="1" thickBot="1">
      <c r="B11" s="131" t="s">
        <v>174</v>
      </c>
      <c r="C11" s="132" t="s">
        <v>164</v>
      </c>
      <c r="D11" s="134" t="s">
        <v>175</v>
      </c>
      <c r="E11" s="134" t="s">
        <v>176</v>
      </c>
      <c r="G11" s="85"/>
      <c r="H11" s="85"/>
      <c r="I11" s="85"/>
      <c r="J11" s="85"/>
    </row>
    <row r="12" spans="1:10" ht="75" customHeight="1" thickBot="1">
      <c r="B12" s="131" t="s">
        <v>177</v>
      </c>
      <c r="C12" s="132" t="s">
        <v>170</v>
      </c>
      <c r="D12" s="134" t="s">
        <v>178</v>
      </c>
      <c r="E12" s="134" t="s">
        <v>179</v>
      </c>
      <c r="G12" s="85"/>
      <c r="H12" s="85"/>
      <c r="I12" s="85"/>
      <c r="J12" s="85"/>
    </row>
    <row r="13" spans="1:10" ht="75" customHeight="1" thickBot="1">
      <c r="B13" s="135" t="s">
        <v>180</v>
      </c>
      <c r="C13" s="132" t="s">
        <v>181</v>
      </c>
      <c r="D13" s="134" t="s">
        <v>182</v>
      </c>
      <c r="E13" s="134" t="s">
        <v>183</v>
      </c>
      <c r="G13" s="85"/>
      <c r="H13" s="85"/>
      <c r="I13" s="85"/>
      <c r="J13" s="85"/>
    </row>
    <row r="14" spans="1:10" ht="76" customHeight="1" thickBot="1">
      <c r="G14" s="99"/>
      <c r="H14" s="99"/>
      <c r="I14" s="99"/>
      <c r="J14" s="99"/>
    </row>
    <row r="15" spans="1:10" ht="76" customHeight="1" thickBot="1">
      <c r="G15" s="99"/>
      <c r="H15" s="99"/>
      <c r="I15" s="99"/>
      <c r="J15" s="99"/>
    </row>
    <row r="16" spans="1:10" ht="76" customHeight="1" thickBot="1">
      <c r="G16" s="99"/>
      <c r="H16" s="99"/>
      <c r="I16" s="99"/>
      <c r="J16" s="99"/>
    </row>
    <row r="17" spans="7:10" ht="76" customHeight="1" thickBot="1">
      <c r="G17" s="99"/>
      <c r="H17" s="99"/>
      <c r="I17" s="99"/>
      <c r="J17" s="99"/>
    </row>
    <row r="18" spans="7:10" ht="76" customHeight="1" thickBot="1">
      <c r="G18" s="99"/>
      <c r="H18" s="99"/>
      <c r="I18" s="99"/>
      <c r="J18" s="99"/>
    </row>
    <row r="19" spans="7:10" ht="76" customHeight="1" thickBot="1">
      <c r="G19" s="99"/>
      <c r="H19" s="99"/>
      <c r="I19" s="99"/>
      <c r="J19" s="99"/>
    </row>
    <row r="20" spans="7:10" ht="76" customHeight="1" thickBot="1">
      <c r="G20" s="99"/>
      <c r="H20" s="99"/>
      <c r="I20" s="99"/>
      <c r="J20" s="99"/>
    </row>
    <row r="21" spans="7:10" ht="76" customHeight="1" thickBot="1">
      <c r="G21" s="99"/>
      <c r="H21" s="99"/>
      <c r="I21" s="99"/>
      <c r="J21" s="99"/>
    </row>
    <row r="22" spans="7:10" ht="76" customHeight="1" thickBot="1">
      <c r="G22" s="99"/>
      <c r="H22" s="99"/>
      <c r="I22" s="99"/>
      <c r="J22" s="99"/>
    </row>
    <row r="23" spans="7:10" ht="76" customHeight="1" thickBot="1">
      <c r="G23" s="99"/>
      <c r="H23" s="99"/>
      <c r="I23" s="99"/>
      <c r="J23" s="99"/>
    </row>
  </sheetData>
  <sheetProtection algorithmName="SHA-512" hashValue="+iJDNoG5b/jsz/WcPXob3LsiUTSSXx5bXQ4t7n2yBocLOZOp65FE3nHv4J+vuSBzEhyLMUbvp5UqWxYVdmyQFQ==" saltValue="Kojg15pVYJQwAlzIlroCwg==" spinCount="100000" sheet="1" objects="1" scenarios="1"/>
  <mergeCells count="4">
    <mergeCell ref="B4:E4"/>
    <mergeCell ref="G4:J4"/>
    <mergeCell ref="A1:C1"/>
    <mergeCell ref="A2:C2"/>
  </mergeCells>
  <hyperlinks>
    <hyperlink ref="A1" location="'Wine Offer Template'!A1" display="Return To Wine Offer Template" xr:uid="{F3CB3AB5-DF76-0B45-A327-845F08BC80EA}"/>
    <hyperlink ref="A1:C1" location="Home!A1" display="Return Home" xr:uid="{E63190C9-56EC-9D49-904D-4A46ABD0E850}"/>
    <hyperlink ref="A2:C2" location="'Net Revenue'!A1" display="Go to Net Revenue" xr:uid="{66F1D90A-D0F1-014F-BBDF-9F3DB20738C4}"/>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D4CE-F603-BB44-B8D9-A5DAD5B37BD7}">
  <sheetPr codeName="Sheet7">
    <tabColor theme="8"/>
  </sheetPr>
  <dimension ref="A1:P463"/>
  <sheetViews>
    <sheetView topLeftCell="A31" workbookViewId="0">
      <selection activeCell="Q11" sqref="Q11:Q15"/>
    </sheetView>
  </sheetViews>
  <sheetFormatPr defaultColWidth="10.83203125" defaultRowHeight="15.5"/>
  <cols>
    <col min="1" max="1" width="4" style="2" customWidth="1"/>
    <col min="2" max="2" width="27" style="2" customWidth="1"/>
    <col min="3" max="3" width="27.33203125" style="2" customWidth="1"/>
    <col min="4" max="4" width="18.33203125" style="4" customWidth="1"/>
    <col min="5" max="5" width="18.33203125" style="2" customWidth="1"/>
    <col min="6" max="6" width="20.5" style="2" customWidth="1"/>
    <col min="7" max="7" width="13.5" style="2" bestFit="1" customWidth="1"/>
    <col min="8" max="8" width="12.58203125" style="2" bestFit="1" customWidth="1"/>
    <col min="9" max="9" width="59.33203125" style="2" bestFit="1" customWidth="1"/>
    <col min="10" max="16" width="10.83203125" style="2"/>
    <col min="17" max="17" width="14" style="2" bestFit="1" customWidth="1"/>
    <col min="18" max="16384" width="10.83203125" style="2"/>
  </cols>
  <sheetData>
    <row r="1" spans="1:9" s="3" customFormat="1" ht="37" customHeight="1">
      <c r="A1" s="877" t="s">
        <v>234</v>
      </c>
      <c r="B1" s="877"/>
      <c r="D1" s="51"/>
    </row>
    <row r="2" spans="1:9" s="3" customFormat="1" ht="37" customHeight="1">
      <c r="A2" s="877" t="s">
        <v>206</v>
      </c>
      <c r="B2" s="877"/>
      <c r="D2" s="51"/>
    </row>
    <row r="3" spans="1:9" s="3" customFormat="1" ht="20.149999999999999" customHeight="1">
      <c r="A3" s="142"/>
      <c r="D3" s="51"/>
    </row>
    <row r="9" spans="1:9" ht="15" customHeight="1"/>
    <row r="10" spans="1:9" ht="12" customHeight="1" thickBot="1"/>
    <row r="11" spans="1:9" ht="20">
      <c r="B11" s="326" t="s">
        <v>81</v>
      </c>
      <c r="C11" s="327"/>
      <c r="D11" s="327"/>
      <c r="E11" s="327"/>
      <c r="F11" s="327"/>
      <c r="G11" s="327"/>
      <c r="H11" s="327"/>
      <c r="I11" s="328"/>
    </row>
    <row r="12" spans="1:9" ht="16" thickBot="1">
      <c r="B12" s="329"/>
      <c r="C12" s="330"/>
      <c r="D12" s="330"/>
      <c r="E12" s="330"/>
      <c r="F12" s="330"/>
      <c r="G12" s="330"/>
      <c r="H12" s="330"/>
      <c r="I12" s="331"/>
    </row>
    <row r="13" spans="1:9" ht="16" thickBot="1"/>
    <row r="14" spans="1:9" ht="20">
      <c r="B14" s="159" t="s">
        <v>71</v>
      </c>
      <c r="C14" s="160" t="s">
        <v>37</v>
      </c>
      <c r="D14" s="160" t="s">
        <v>39</v>
      </c>
      <c r="E14" s="161" t="s">
        <v>41</v>
      </c>
      <c r="F14" s="160" t="s">
        <v>62</v>
      </c>
      <c r="G14" s="162"/>
      <c r="H14" s="162"/>
      <c r="I14" s="163"/>
    </row>
    <row r="15" spans="1:9" ht="20">
      <c r="B15" s="164">
        <f>Home!B11</f>
        <v>0</v>
      </c>
      <c r="C15" s="19">
        <f>Home!C11</f>
        <v>0</v>
      </c>
      <c r="D15" s="19" t="str">
        <f>Home!D11</f>
        <v>Lead varietal first</v>
      </c>
      <c r="E15" s="20">
        <f>Home!G11</f>
        <v>0</v>
      </c>
      <c r="F15" s="19" t="str">
        <f>Home!E21</f>
        <v>Select Market</v>
      </c>
      <c r="I15" s="165"/>
    </row>
    <row r="16" spans="1:9">
      <c r="B16" s="166"/>
      <c r="I16" s="165"/>
    </row>
    <row r="17" spans="2:16">
      <c r="B17" s="167" t="s">
        <v>65</v>
      </c>
      <c r="D17" s="2"/>
      <c r="F17" s="878" t="s">
        <v>77</v>
      </c>
      <c r="G17" s="878"/>
      <c r="H17" s="879" t="s">
        <v>78</v>
      </c>
      <c r="I17" s="880"/>
      <c r="L17" s="5"/>
    </row>
    <row r="18" spans="2:16">
      <c r="B18" s="166" t="s">
        <v>0</v>
      </c>
      <c r="D18" s="2"/>
      <c r="F18" s="6">
        <f>'Shipment Cost Schedule'!$F$5</f>
        <v>3</v>
      </c>
      <c r="G18" s="2" t="s">
        <v>76</v>
      </c>
      <c r="H18" s="6">
        <f>'Shipment Cost Schedule'!$H$5</f>
        <v>2.976190476190476E-2</v>
      </c>
      <c r="I18" s="165" t="s">
        <v>17</v>
      </c>
      <c r="L18" s="5"/>
      <c r="P18" s="5"/>
    </row>
    <row r="19" spans="2:16">
      <c r="B19" s="166" t="s">
        <v>1</v>
      </c>
      <c r="D19" s="2"/>
      <c r="F19" s="6">
        <f>'Shipment Cost Schedule'!$F$6</f>
        <v>20</v>
      </c>
      <c r="G19" s="6" t="s">
        <v>19</v>
      </c>
      <c r="H19" s="6">
        <f>'Shipment Cost Schedule'!$H$6</f>
        <v>0.35714285714285715</v>
      </c>
      <c r="I19" s="165" t="s">
        <v>30</v>
      </c>
      <c r="P19" s="5"/>
    </row>
    <row r="20" spans="2:16">
      <c r="B20" s="166" t="s">
        <v>209</v>
      </c>
      <c r="D20" s="2"/>
      <c r="F20" s="6">
        <f>'Shipment Cost Schedule'!$F$7</f>
        <v>30</v>
      </c>
      <c r="G20" s="6" t="s">
        <v>19</v>
      </c>
      <c r="H20" s="6">
        <f>'Shipment Cost Schedule'!$H$7</f>
        <v>0.5357142857142857</v>
      </c>
      <c r="I20" s="165"/>
      <c r="P20" s="5"/>
    </row>
    <row r="21" spans="2:16">
      <c r="B21" s="166" t="s">
        <v>16</v>
      </c>
      <c r="D21" s="2"/>
      <c r="F21" s="6">
        <f>'Shipment Cost Schedule'!$F$8</f>
        <v>25</v>
      </c>
      <c r="G21" s="6" t="s">
        <v>21</v>
      </c>
      <c r="H21" s="6">
        <f>'Shipment Cost Schedule'!$H$8</f>
        <v>2.5000000000000001E-2</v>
      </c>
      <c r="I21" s="165"/>
      <c r="P21" s="5"/>
    </row>
    <row r="22" spans="2:16">
      <c r="B22" s="166" t="s">
        <v>14</v>
      </c>
      <c r="D22" s="2"/>
      <c r="F22" s="6">
        <f>'Shipment Cost Schedule'!$F$9</f>
        <v>245</v>
      </c>
      <c r="G22" s="8" t="s">
        <v>18</v>
      </c>
      <c r="H22" s="6">
        <f>'Shipment Cost Schedule'!$H$9</f>
        <v>0.245</v>
      </c>
      <c r="I22" s="165" t="s">
        <v>25</v>
      </c>
    </row>
    <row r="23" spans="2:16">
      <c r="B23" s="166" t="s">
        <v>11</v>
      </c>
      <c r="D23" s="2"/>
      <c r="F23" s="6">
        <f>'Shipment Cost Schedule'!$F$10</f>
        <v>80</v>
      </c>
      <c r="G23" s="2" t="s">
        <v>18</v>
      </c>
      <c r="H23" s="6">
        <f>'Shipment Cost Schedule'!$H$10</f>
        <v>0.08</v>
      </c>
      <c r="I23" s="165" t="s">
        <v>25</v>
      </c>
    </row>
    <row r="24" spans="2:16">
      <c r="B24" s="166" t="s">
        <v>4</v>
      </c>
      <c r="D24" s="2"/>
      <c r="F24" s="6">
        <f>'Shipment Cost Schedule'!$F$11</f>
        <v>45</v>
      </c>
      <c r="G24" s="2" t="s">
        <v>18</v>
      </c>
      <c r="H24" s="6">
        <f>'Shipment Cost Schedule'!$H$11</f>
        <v>4.4999999999999998E-2</v>
      </c>
      <c r="I24" s="165" t="s">
        <v>25</v>
      </c>
    </row>
    <row r="25" spans="2:16">
      <c r="B25" s="166" t="s">
        <v>13</v>
      </c>
      <c r="D25" s="2"/>
      <c r="F25" s="6">
        <f>'Shipment Cost Schedule'!$F$12</f>
        <v>10</v>
      </c>
      <c r="G25" s="2" t="s">
        <v>18</v>
      </c>
      <c r="H25" s="6">
        <f>'Shipment Cost Schedule'!$H$12</f>
        <v>0.01</v>
      </c>
      <c r="I25" s="165" t="s">
        <v>25</v>
      </c>
    </row>
    <row r="26" spans="2:16">
      <c r="B26" s="166" t="s">
        <v>5</v>
      </c>
      <c r="D26" s="2"/>
      <c r="F26" s="6">
        <f>'Shipment Cost Schedule'!$F$13</f>
        <v>95</v>
      </c>
      <c r="G26" s="2" t="s">
        <v>22</v>
      </c>
      <c r="H26" s="6">
        <f>'Shipment Cost Schedule'!$H$13</f>
        <v>9.5000000000000001E-2</v>
      </c>
      <c r="I26" s="165" t="s">
        <v>25</v>
      </c>
    </row>
    <row r="27" spans="2:16">
      <c r="B27" s="166" t="s">
        <v>29</v>
      </c>
      <c r="D27" s="2"/>
      <c r="F27" s="6">
        <f>'Shipment Cost Schedule'!$F$14</f>
        <v>25</v>
      </c>
      <c r="G27" s="2" t="s">
        <v>18</v>
      </c>
      <c r="H27" s="6">
        <f>'Shipment Cost Schedule'!$H$14</f>
        <v>2.5000000000000001E-2</v>
      </c>
      <c r="I27" s="165" t="s">
        <v>25</v>
      </c>
    </row>
    <row r="28" spans="2:16">
      <c r="B28" s="166" t="s">
        <v>6</v>
      </c>
      <c r="D28" s="2"/>
      <c r="F28" s="6">
        <f>'Shipment Cost Schedule'!$F$15</f>
        <v>35</v>
      </c>
      <c r="G28" s="2" t="s">
        <v>23</v>
      </c>
      <c r="H28" s="6">
        <f>'Shipment Cost Schedule'!$H$15</f>
        <v>3.5000000000000003E-2</v>
      </c>
      <c r="I28" s="165" t="s">
        <v>24</v>
      </c>
    </row>
    <row r="29" spans="2:16">
      <c r="B29" s="166" t="s">
        <v>10</v>
      </c>
      <c r="D29" s="2"/>
      <c r="F29" s="6">
        <f>'Shipment Cost Schedule'!$F$16</f>
        <v>865</v>
      </c>
      <c r="G29" s="2" t="s">
        <v>18</v>
      </c>
      <c r="H29" s="6">
        <f>'Shipment Cost Schedule'!$H$16</f>
        <v>0.86499999999999999</v>
      </c>
      <c r="I29" s="165"/>
    </row>
    <row r="30" spans="2:16">
      <c r="B30" s="166" t="s">
        <v>580</v>
      </c>
      <c r="D30" s="2"/>
      <c r="F30" s="6">
        <f>'Shipment Cost Schedule'!$F$17</f>
        <v>715</v>
      </c>
      <c r="G30" s="2" t="s">
        <v>18</v>
      </c>
      <c r="H30" s="6">
        <f>'Shipment Cost Schedule'!$H$17</f>
        <v>0.71499999999999997</v>
      </c>
      <c r="I30" s="165"/>
    </row>
    <row r="31" spans="2:16">
      <c r="B31" s="166"/>
      <c r="D31" s="2"/>
      <c r="F31" s="6"/>
      <c r="H31" s="6"/>
      <c r="I31" s="165"/>
    </row>
    <row r="32" spans="2:16">
      <c r="B32" s="167" t="s">
        <v>7</v>
      </c>
      <c r="D32" s="2"/>
      <c r="F32" s="6"/>
      <c r="G32" s="4"/>
      <c r="H32" s="6"/>
      <c r="I32" s="165"/>
    </row>
    <row r="33" spans="2:9">
      <c r="B33" s="166" t="s">
        <v>8</v>
      </c>
      <c r="D33" s="2"/>
      <c r="F33" s="6">
        <f>'Shipment Cost Schedule'!$F$20</f>
        <v>40</v>
      </c>
      <c r="G33" s="4" t="s">
        <v>27</v>
      </c>
      <c r="H33" s="6">
        <f>'Shipment Cost Schedule'!$H$20</f>
        <v>0.04</v>
      </c>
      <c r="I33" s="165"/>
    </row>
    <row r="34" spans="2:9">
      <c r="B34" s="166" t="s">
        <v>9</v>
      </c>
      <c r="D34" s="2"/>
      <c r="F34" s="6">
        <f>'Shipment Cost Schedule'!$F$21</f>
        <v>15</v>
      </c>
      <c r="G34" s="4" t="s">
        <v>26</v>
      </c>
      <c r="H34" s="6">
        <f>'Shipment Cost Schedule'!$H$21</f>
        <v>1.3392857142857142</v>
      </c>
      <c r="I34" s="165" t="s">
        <v>67</v>
      </c>
    </row>
    <row r="35" spans="2:9">
      <c r="B35" s="166" t="s">
        <v>12</v>
      </c>
      <c r="D35" s="2"/>
      <c r="F35" s="6">
        <f>'Shipment Cost Schedule'!$F$22</f>
        <v>35</v>
      </c>
      <c r="G35" s="4" t="s">
        <v>28</v>
      </c>
      <c r="H35" s="6">
        <f>'Shipment Cost Schedule'!$H$22</f>
        <v>3.5000000000000003E-2</v>
      </c>
      <c r="I35" s="165"/>
    </row>
    <row r="36" spans="2:9">
      <c r="B36" s="166"/>
      <c r="D36" s="2"/>
      <c r="F36" s="6"/>
      <c r="H36" s="6"/>
      <c r="I36" s="165"/>
    </row>
    <row r="37" spans="2:9">
      <c r="B37" s="167" t="s">
        <v>66</v>
      </c>
      <c r="D37" s="2"/>
      <c r="F37" s="6"/>
      <c r="H37" s="6"/>
      <c r="I37" s="165"/>
    </row>
    <row r="38" spans="2:9">
      <c r="B38" s="168" t="s">
        <v>34</v>
      </c>
      <c r="D38" s="2"/>
      <c r="F38" s="6"/>
      <c r="H38" s="6"/>
      <c r="I38" s="165"/>
    </row>
    <row r="39" spans="2:9">
      <c r="B39" s="166" t="s">
        <v>2</v>
      </c>
      <c r="D39" s="2"/>
      <c r="F39" s="6">
        <f>'Shipment Cost Schedule'!$F$26</f>
        <v>25</v>
      </c>
      <c r="G39" s="2" t="s">
        <v>18</v>
      </c>
      <c r="H39" s="6">
        <f>IF(F15="China",'Shipment Cost Schedule'!$H$26,0)</f>
        <v>0</v>
      </c>
      <c r="I39" s="165"/>
    </row>
    <row r="40" spans="2:9">
      <c r="B40" s="166" t="s">
        <v>3</v>
      </c>
      <c r="D40" s="2"/>
      <c r="F40" s="6">
        <f>'Shipment Cost Schedule'!$F$27</f>
        <v>25</v>
      </c>
      <c r="G40" s="2" t="s">
        <v>18</v>
      </c>
      <c r="H40" s="6">
        <f>IF(F15="China",'Shipment Cost Schedule'!$H$27,0)</f>
        <v>0</v>
      </c>
      <c r="I40" s="165"/>
    </row>
    <row r="41" spans="2:9">
      <c r="B41" s="166" t="s">
        <v>35</v>
      </c>
      <c r="D41" s="2"/>
      <c r="F41" s="6">
        <f>'Shipment Cost Schedule'!$F$28</f>
        <v>0</v>
      </c>
      <c r="G41" s="2" t="s">
        <v>18</v>
      </c>
      <c r="H41" s="6">
        <f>IF(F15="China",'Shipment Cost Schedule'!H28,0)</f>
        <v>0</v>
      </c>
      <c r="I41" s="165"/>
    </row>
    <row r="42" spans="2:9">
      <c r="B42" s="166" t="s">
        <v>68</v>
      </c>
      <c r="D42" s="2"/>
      <c r="F42" s="6">
        <f>'Shipment Cost Schedule'!$F$29</f>
        <v>34.65</v>
      </c>
      <c r="G42" s="2" t="s">
        <v>20</v>
      </c>
      <c r="H42" s="6">
        <f>IF(F15="China",'Shipment Cost Schedule'!$H$29,0)</f>
        <v>0</v>
      </c>
      <c r="I42" s="165"/>
    </row>
    <row r="43" spans="2:9">
      <c r="B43" s="166" t="s">
        <v>577</v>
      </c>
      <c r="D43" s="2"/>
      <c r="F43" s="6">
        <f>'Shipment Cost Schedule'!$F$30</f>
        <v>30</v>
      </c>
      <c r="G43" s="2" t="s">
        <v>18</v>
      </c>
      <c r="H43" s="6">
        <f>IF(F15="China",'Shipment Cost Schedule'!$H$30,0)</f>
        <v>0</v>
      </c>
      <c r="I43" s="165"/>
    </row>
    <row r="44" spans="2:9">
      <c r="B44" s="166" t="s">
        <v>578</v>
      </c>
      <c r="D44" s="2"/>
      <c r="F44" s="6">
        <f>'Shipment Cost Schedule'!$F$31</f>
        <v>45</v>
      </c>
      <c r="G44" s="2" t="s">
        <v>579</v>
      </c>
      <c r="H44" s="6">
        <f>IF(F15="China",'Shipment Cost Schedule'!$H$31,0)</f>
        <v>0</v>
      </c>
      <c r="I44" s="165"/>
    </row>
    <row r="45" spans="2:9">
      <c r="B45" s="166"/>
      <c r="D45" s="2"/>
      <c r="F45" s="6"/>
      <c r="H45" s="6"/>
      <c r="I45" s="165"/>
    </row>
    <row r="46" spans="2:9">
      <c r="B46" s="168" t="s">
        <v>36</v>
      </c>
      <c r="D46" s="2"/>
      <c r="F46" s="6"/>
      <c r="H46" s="6"/>
      <c r="I46" s="165"/>
    </row>
    <row r="47" spans="2:9">
      <c r="B47" s="166" t="s">
        <v>38</v>
      </c>
      <c r="D47" s="2"/>
      <c r="F47" s="6">
        <f>'Shipment Cost Schedule'!$F$33</f>
        <v>47.25</v>
      </c>
      <c r="G47" s="2" t="s">
        <v>18</v>
      </c>
      <c r="H47" s="6">
        <f>_xlfn.IFS(F15="Select Market",0,F15="USA",0,F15="UK",'Shipment Cost Schedule'!$H$33,F15="Belgium",'Shipment Cost Schedule'!$H$33,F15="Brazil",0,F15="Canada",0,F15="China",0,F15="Denmark",'Shipment Cost Schedule'!$H$33,F15="Germany",'Shipment Cost Schedule'!$H$33,F15="Japan",0,F15="Netherlands",'Shipment Cost Schedule'!$H$33,F15="Poland",'Shipment Cost Schedule'!$H$33,F15="Singapore",0,F15="South Korea",0,F15="Sweden",'Shipment Cost Schedule'!$H$33,F15="Thailand",0,F15="Other",0)</f>
        <v>0</v>
      </c>
      <c r="I47" s="165"/>
    </row>
    <row r="48" spans="2:9">
      <c r="B48" s="166"/>
      <c r="D48" s="2"/>
      <c r="F48" s="6"/>
      <c r="H48" s="6"/>
      <c r="I48" s="165"/>
    </row>
    <row r="49" spans="2:9">
      <c r="B49" s="168" t="s">
        <v>55</v>
      </c>
      <c r="D49" s="2"/>
      <c r="F49" s="6"/>
      <c r="H49" s="6"/>
      <c r="I49" s="165"/>
    </row>
    <row r="50" spans="2:9">
      <c r="B50" s="169" t="s">
        <v>63</v>
      </c>
      <c r="D50" s="2"/>
      <c r="F50" s="6">
        <f>'Shipment Cost Schedule'!$F$35</f>
        <v>94.5</v>
      </c>
      <c r="G50" s="2" t="s">
        <v>18</v>
      </c>
      <c r="H50" s="6">
        <f>IF(F15="Japan",'Shipment Cost Schedule'!$H$35,0)</f>
        <v>0</v>
      </c>
      <c r="I50" s="165"/>
    </row>
    <row r="51" spans="2:9">
      <c r="B51" s="169" t="s">
        <v>578</v>
      </c>
      <c r="D51" s="2"/>
      <c r="F51" s="6">
        <f>'Shipment Cost Schedule'!$F$36</f>
        <v>45</v>
      </c>
      <c r="G51" s="2" t="s">
        <v>579</v>
      </c>
      <c r="H51" s="6">
        <f>IF(F15="Japan",'Shipment Cost Schedule'!$H$36,0)</f>
        <v>0</v>
      </c>
      <c r="I51" s="165"/>
    </row>
    <row r="52" spans="2:9">
      <c r="B52" s="169"/>
      <c r="D52" s="2"/>
      <c r="F52" s="6"/>
      <c r="H52" s="6"/>
      <c r="I52" s="165"/>
    </row>
    <row r="53" spans="2:9">
      <c r="B53" s="168" t="s">
        <v>51</v>
      </c>
      <c r="D53" s="2"/>
      <c r="F53" s="6"/>
      <c r="H53" s="6"/>
      <c r="I53" s="165"/>
    </row>
    <row r="54" spans="2:9">
      <c r="B54" s="169" t="s">
        <v>64</v>
      </c>
      <c r="D54" s="2"/>
      <c r="F54" s="6">
        <f>'Shipment Cost Schedule'!$F$38</f>
        <v>210</v>
      </c>
      <c r="G54" s="2" t="s">
        <v>18</v>
      </c>
      <c r="H54" s="6">
        <f>IF(F15="Brazil",'Shipment Cost Schedule'!$H$38,0)</f>
        <v>0</v>
      </c>
      <c r="I54" s="165"/>
    </row>
    <row r="55" spans="2:9">
      <c r="B55" s="166"/>
      <c r="E55" s="4"/>
      <c r="F55" s="6"/>
      <c r="H55" s="6"/>
      <c r="I55" s="165"/>
    </row>
    <row r="56" spans="2:9" ht="20">
      <c r="B56" s="170" t="s">
        <v>80</v>
      </c>
      <c r="C56" s="21"/>
      <c r="D56" s="22"/>
      <c r="E56" s="21"/>
      <c r="H56" s="23">
        <f>Home!F21-Home!N11</f>
        <v>0</v>
      </c>
      <c r="I56" s="165"/>
    </row>
    <row r="57" spans="2:9" ht="20.5" thickBot="1">
      <c r="B57" s="171" t="s">
        <v>79</v>
      </c>
      <c r="C57" s="172"/>
      <c r="D57" s="173"/>
      <c r="E57" s="172"/>
      <c r="F57" s="174"/>
      <c r="G57" s="365"/>
      <c r="H57" s="175">
        <f>Home!F21</f>
        <v>0</v>
      </c>
      <c r="I57" s="176"/>
    </row>
    <row r="59" spans="2:9" ht="16" thickBot="1">
      <c r="B59" s="13"/>
      <c r="D59" s="2"/>
      <c r="F59" s="878"/>
      <c r="G59" s="878"/>
      <c r="H59" s="878"/>
      <c r="I59" s="878"/>
    </row>
    <row r="60" spans="2:9" ht="20">
      <c r="B60" s="159" t="s">
        <v>71</v>
      </c>
      <c r="C60" s="160" t="s">
        <v>37</v>
      </c>
      <c r="D60" s="160" t="s">
        <v>39</v>
      </c>
      <c r="E60" s="161" t="s">
        <v>41</v>
      </c>
      <c r="F60" s="160" t="s">
        <v>62</v>
      </c>
      <c r="G60" s="162"/>
      <c r="H60" s="162"/>
      <c r="I60" s="163"/>
    </row>
    <row r="61" spans="2:9" ht="20">
      <c r="B61" s="164">
        <f>Home!B12</f>
        <v>0</v>
      </c>
      <c r="C61" s="19">
        <f>Home!C12</f>
        <v>0</v>
      </c>
      <c r="D61" s="19">
        <f>Home!D12</f>
        <v>0</v>
      </c>
      <c r="E61" s="20">
        <f>Home!G12</f>
        <v>0</v>
      </c>
      <c r="F61" s="19" t="str">
        <f>Home!E22</f>
        <v>Select Market</v>
      </c>
      <c r="I61" s="165"/>
    </row>
    <row r="62" spans="2:9">
      <c r="B62" s="166"/>
      <c r="I62" s="165"/>
    </row>
    <row r="63" spans="2:9">
      <c r="B63" s="167" t="s">
        <v>65</v>
      </c>
      <c r="D63" s="2"/>
      <c r="F63" s="878" t="s">
        <v>77</v>
      </c>
      <c r="G63" s="878"/>
      <c r="H63" s="879" t="s">
        <v>78</v>
      </c>
      <c r="I63" s="880"/>
    </row>
    <row r="64" spans="2:9">
      <c r="B64" s="166" t="s">
        <v>0</v>
      </c>
      <c r="D64" s="2"/>
      <c r="F64" s="6">
        <f>'Shipment Cost Schedule'!$F$5</f>
        <v>3</v>
      </c>
      <c r="G64" s="2" t="s">
        <v>76</v>
      </c>
      <c r="H64" s="6">
        <f>'Shipment Cost Schedule'!$H$5</f>
        <v>2.976190476190476E-2</v>
      </c>
      <c r="I64" s="165" t="s">
        <v>17</v>
      </c>
    </row>
    <row r="65" spans="2:9">
      <c r="B65" s="166" t="s">
        <v>1</v>
      </c>
      <c r="D65" s="2"/>
      <c r="F65" s="6">
        <f>'Shipment Cost Schedule'!$F$6</f>
        <v>20</v>
      </c>
      <c r="G65" s="6" t="s">
        <v>19</v>
      </c>
      <c r="H65" s="6">
        <f>'Shipment Cost Schedule'!$H$6</f>
        <v>0.35714285714285715</v>
      </c>
      <c r="I65" s="165" t="s">
        <v>30</v>
      </c>
    </row>
    <row r="66" spans="2:9">
      <c r="B66" s="166" t="s">
        <v>209</v>
      </c>
      <c r="D66" s="2"/>
      <c r="F66" s="6">
        <f>'Shipment Cost Schedule'!$F$7</f>
        <v>30</v>
      </c>
      <c r="G66" s="6" t="s">
        <v>19</v>
      </c>
      <c r="H66" s="6">
        <f>'Shipment Cost Schedule'!$H$7</f>
        <v>0.5357142857142857</v>
      </c>
      <c r="I66" s="165"/>
    </row>
    <row r="67" spans="2:9">
      <c r="B67" s="166" t="s">
        <v>16</v>
      </c>
      <c r="D67" s="2"/>
      <c r="F67" s="6">
        <f>'Shipment Cost Schedule'!$F$8</f>
        <v>25</v>
      </c>
      <c r="G67" s="6" t="s">
        <v>21</v>
      </c>
      <c r="H67" s="6">
        <f>'Shipment Cost Schedule'!$H$8</f>
        <v>2.5000000000000001E-2</v>
      </c>
      <c r="I67" s="165"/>
    </row>
    <row r="68" spans="2:9">
      <c r="B68" s="166" t="s">
        <v>14</v>
      </c>
      <c r="D68" s="2"/>
      <c r="F68" s="6">
        <f>'Shipment Cost Schedule'!$F$9</f>
        <v>245</v>
      </c>
      <c r="G68" s="8" t="s">
        <v>18</v>
      </c>
      <c r="H68" s="6">
        <f>'Shipment Cost Schedule'!$H$9</f>
        <v>0.245</v>
      </c>
      <c r="I68" s="165" t="s">
        <v>25</v>
      </c>
    </row>
    <row r="69" spans="2:9">
      <c r="B69" s="166" t="s">
        <v>11</v>
      </c>
      <c r="D69" s="2"/>
      <c r="F69" s="6">
        <f>'Shipment Cost Schedule'!$F$10</f>
        <v>80</v>
      </c>
      <c r="G69" s="2" t="s">
        <v>18</v>
      </c>
      <c r="H69" s="6">
        <f>'Shipment Cost Schedule'!$H$10</f>
        <v>0.08</v>
      </c>
      <c r="I69" s="165" t="s">
        <v>25</v>
      </c>
    </row>
    <row r="70" spans="2:9">
      <c r="B70" s="166" t="s">
        <v>4</v>
      </c>
      <c r="D70" s="2"/>
      <c r="F70" s="6">
        <f>'Shipment Cost Schedule'!$F$11</f>
        <v>45</v>
      </c>
      <c r="G70" s="2" t="s">
        <v>18</v>
      </c>
      <c r="H70" s="6">
        <f>'Shipment Cost Schedule'!$H$11</f>
        <v>4.4999999999999998E-2</v>
      </c>
      <c r="I70" s="165" t="s">
        <v>25</v>
      </c>
    </row>
    <row r="71" spans="2:9">
      <c r="B71" s="166" t="s">
        <v>13</v>
      </c>
      <c r="D71" s="2"/>
      <c r="F71" s="6">
        <f>'Shipment Cost Schedule'!$F$12</f>
        <v>10</v>
      </c>
      <c r="G71" s="2" t="s">
        <v>18</v>
      </c>
      <c r="H71" s="6">
        <f>'Shipment Cost Schedule'!$H$12</f>
        <v>0.01</v>
      </c>
      <c r="I71" s="165" t="s">
        <v>25</v>
      </c>
    </row>
    <row r="72" spans="2:9">
      <c r="B72" s="166" t="s">
        <v>5</v>
      </c>
      <c r="D72" s="2"/>
      <c r="F72" s="6">
        <f>'Shipment Cost Schedule'!$F$13</f>
        <v>95</v>
      </c>
      <c r="G72" s="2" t="s">
        <v>22</v>
      </c>
      <c r="H72" s="6">
        <f>'Shipment Cost Schedule'!$H$13</f>
        <v>9.5000000000000001E-2</v>
      </c>
      <c r="I72" s="165" t="s">
        <v>25</v>
      </c>
    </row>
    <row r="73" spans="2:9">
      <c r="B73" s="166" t="s">
        <v>29</v>
      </c>
      <c r="D73" s="2"/>
      <c r="F73" s="6">
        <f>'Shipment Cost Schedule'!$F$14</f>
        <v>25</v>
      </c>
      <c r="G73" s="2" t="s">
        <v>18</v>
      </c>
      <c r="H73" s="6">
        <f>'Shipment Cost Schedule'!$H$14</f>
        <v>2.5000000000000001E-2</v>
      </c>
      <c r="I73" s="165" t="s">
        <v>25</v>
      </c>
    </row>
    <row r="74" spans="2:9">
      <c r="B74" s="166" t="s">
        <v>6</v>
      </c>
      <c r="D74" s="2"/>
      <c r="F74" s="6">
        <f>'Shipment Cost Schedule'!$F$15</f>
        <v>35</v>
      </c>
      <c r="G74" s="2" t="s">
        <v>23</v>
      </c>
      <c r="H74" s="6">
        <f>'Shipment Cost Schedule'!$H$15</f>
        <v>3.5000000000000003E-2</v>
      </c>
      <c r="I74" s="165" t="s">
        <v>24</v>
      </c>
    </row>
    <row r="75" spans="2:9">
      <c r="B75" s="166" t="s">
        <v>10</v>
      </c>
      <c r="D75" s="2"/>
      <c r="F75" s="6">
        <f>'Shipment Cost Schedule'!$F$16</f>
        <v>865</v>
      </c>
      <c r="G75" s="2" t="s">
        <v>18</v>
      </c>
      <c r="H75" s="6">
        <f>'Shipment Cost Schedule'!$H$16</f>
        <v>0.86499999999999999</v>
      </c>
      <c r="I75" s="165"/>
    </row>
    <row r="76" spans="2:9">
      <c r="B76" s="166" t="s">
        <v>580</v>
      </c>
      <c r="D76" s="2"/>
      <c r="F76" s="6">
        <f>'Shipment Cost Schedule'!$F$17</f>
        <v>715</v>
      </c>
      <c r="G76" s="2" t="s">
        <v>18</v>
      </c>
      <c r="H76" s="6">
        <f>'Shipment Cost Schedule'!$H$17</f>
        <v>0.71499999999999997</v>
      </c>
      <c r="I76" s="165"/>
    </row>
    <row r="77" spans="2:9">
      <c r="B77" s="166"/>
      <c r="D77" s="2"/>
      <c r="F77" s="6"/>
      <c r="H77" s="6"/>
      <c r="I77" s="165"/>
    </row>
    <row r="78" spans="2:9">
      <c r="B78" s="167" t="s">
        <v>7</v>
      </c>
      <c r="D78" s="2"/>
      <c r="F78" s="6"/>
      <c r="G78" s="4"/>
      <c r="H78" s="6"/>
      <c r="I78" s="165"/>
    </row>
    <row r="79" spans="2:9">
      <c r="B79" s="166" t="s">
        <v>8</v>
      </c>
      <c r="D79" s="2"/>
      <c r="F79" s="6">
        <f>'Shipment Cost Schedule'!$F$20</f>
        <v>40</v>
      </c>
      <c r="G79" s="4" t="s">
        <v>27</v>
      </c>
      <c r="H79" s="6">
        <f>'Shipment Cost Schedule'!$H$20</f>
        <v>0.04</v>
      </c>
      <c r="I79" s="165"/>
    </row>
    <row r="80" spans="2:9">
      <c r="B80" s="166" t="s">
        <v>9</v>
      </c>
      <c r="D80" s="2"/>
      <c r="F80" s="6">
        <f>'Shipment Cost Schedule'!$F$21</f>
        <v>15</v>
      </c>
      <c r="G80" s="4" t="s">
        <v>26</v>
      </c>
      <c r="H80" s="6">
        <f>'Shipment Cost Schedule'!$H$21</f>
        <v>1.3392857142857142</v>
      </c>
      <c r="I80" s="165" t="s">
        <v>67</v>
      </c>
    </row>
    <row r="81" spans="2:9">
      <c r="B81" s="166" t="s">
        <v>12</v>
      </c>
      <c r="D81" s="2"/>
      <c r="F81" s="6">
        <f>'Shipment Cost Schedule'!$F$22</f>
        <v>35</v>
      </c>
      <c r="G81" s="4" t="s">
        <v>28</v>
      </c>
      <c r="H81" s="6">
        <f>'Shipment Cost Schedule'!$H$22</f>
        <v>3.5000000000000003E-2</v>
      </c>
      <c r="I81" s="165"/>
    </row>
    <row r="82" spans="2:9">
      <c r="B82" s="166"/>
      <c r="D82" s="2"/>
      <c r="F82" s="6"/>
      <c r="H82" s="6"/>
      <c r="I82" s="165"/>
    </row>
    <row r="83" spans="2:9">
      <c r="B83" s="167" t="s">
        <v>66</v>
      </c>
      <c r="D83" s="2"/>
      <c r="F83" s="6"/>
      <c r="H83" s="6"/>
      <c r="I83" s="165"/>
    </row>
    <row r="84" spans="2:9">
      <c r="B84" s="168" t="s">
        <v>34</v>
      </c>
      <c r="D84" s="2"/>
      <c r="F84" s="6"/>
      <c r="H84" s="6"/>
      <c r="I84" s="165"/>
    </row>
    <row r="85" spans="2:9">
      <c r="B85" s="166" t="s">
        <v>2</v>
      </c>
      <c r="D85" s="2"/>
      <c r="F85" s="6">
        <f>'Shipment Cost Schedule'!$F$26</f>
        <v>25</v>
      </c>
      <c r="G85" s="2" t="s">
        <v>18</v>
      </c>
      <c r="H85" s="6">
        <f>IF(F61="China",'Shipment Cost Schedule'!$H$26,0)</f>
        <v>0</v>
      </c>
      <c r="I85" s="165"/>
    </row>
    <row r="86" spans="2:9">
      <c r="B86" s="166" t="s">
        <v>3</v>
      </c>
      <c r="D86" s="2"/>
      <c r="F86" s="6">
        <f>'Shipment Cost Schedule'!$F$27</f>
        <v>25</v>
      </c>
      <c r="G86" s="2" t="s">
        <v>18</v>
      </c>
      <c r="H86" s="6">
        <f>IF(F61="China",'Shipment Cost Schedule'!$H$27,0)</f>
        <v>0</v>
      </c>
      <c r="I86" s="165"/>
    </row>
    <row r="87" spans="2:9">
      <c r="B87" s="166" t="s">
        <v>35</v>
      </c>
      <c r="D87" s="2"/>
      <c r="F87" s="6">
        <f>'Shipment Cost Schedule'!$F$28</f>
        <v>0</v>
      </c>
      <c r="G87" s="2" t="s">
        <v>18</v>
      </c>
      <c r="H87" s="6">
        <f>IF(F61="China",'Shipment Cost Schedule'!H74,0)</f>
        <v>0</v>
      </c>
      <c r="I87" s="165"/>
    </row>
    <row r="88" spans="2:9">
      <c r="B88" s="166" t="s">
        <v>68</v>
      </c>
      <c r="D88" s="2"/>
      <c r="F88" s="6">
        <f>'Shipment Cost Schedule'!$F$29</f>
        <v>34.65</v>
      </c>
      <c r="G88" s="2" t="s">
        <v>20</v>
      </c>
      <c r="H88" s="6">
        <f>IF(F61="China",'Shipment Cost Schedule'!$H$29,0)</f>
        <v>0</v>
      </c>
      <c r="I88" s="165"/>
    </row>
    <row r="89" spans="2:9">
      <c r="B89" s="166" t="s">
        <v>577</v>
      </c>
      <c r="D89" s="2"/>
      <c r="F89" s="6">
        <f>'Shipment Cost Schedule'!$F$30</f>
        <v>30</v>
      </c>
      <c r="G89" s="2" t="s">
        <v>18</v>
      </c>
      <c r="H89" s="6">
        <f>IF(F61="China",'Shipment Cost Schedule'!$H$30,0)</f>
        <v>0</v>
      </c>
      <c r="I89" s="165"/>
    </row>
    <row r="90" spans="2:9">
      <c r="B90" s="166" t="s">
        <v>578</v>
      </c>
      <c r="D90" s="2"/>
      <c r="F90" s="6">
        <f>'Shipment Cost Schedule'!$F$31</f>
        <v>45</v>
      </c>
      <c r="G90" s="2" t="s">
        <v>579</v>
      </c>
      <c r="H90" s="6">
        <f>IF(F61="China",'Shipment Cost Schedule'!$H$31,0)</f>
        <v>0</v>
      </c>
      <c r="I90" s="165"/>
    </row>
    <row r="91" spans="2:9">
      <c r="B91" s="166"/>
      <c r="D91" s="2"/>
      <c r="F91" s="6"/>
      <c r="H91" s="6"/>
      <c r="I91" s="165"/>
    </row>
    <row r="92" spans="2:9">
      <c r="B92" s="168" t="s">
        <v>36</v>
      </c>
      <c r="D92" s="2"/>
      <c r="F92" s="6"/>
      <c r="H92" s="6"/>
      <c r="I92" s="165"/>
    </row>
    <row r="93" spans="2:9">
      <c r="B93" s="166" t="s">
        <v>38</v>
      </c>
      <c r="D93" s="2"/>
      <c r="F93" s="6">
        <f>'Shipment Cost Schedule'!$F$33</f>
        <v>47.25</v>
      </c>
      <c r="G93" s="2" t="s">
        <v>18</v>
      </c>
      <c r="H93" s="6">
        <f>_xlfn.IFS(F61="Select Market",0,F61="USA",0,F61="UK",'Shipment Cost Schedule'!$H$33,F61="Belgium",'Shipment Cost Schedule'!$H$33,F61="Brazil",0,F61="Canada",0,F61="China",0,F61="Denmark",'Shipment Cost Schedule'!$H$33,F61="Germany",'Shipment Cost Schedule'!$H$33,F61="Japan",0,F61="Netherlands",'Shipment Cost Schedule'!$H$33,F61="Poland",'Shipment Cost Schedule'!$H$33,F61="Singapore",0,F61="South Korea",0,F61="Sweden",'Shipment Cost Schedule'!$H$33,F61="Thailand",0,F61="Other",0)</f>
        <v>0</v>
      </c>
      <c r="I93" s="165"/>
    </row>
    <row r="94" spans="2:9">
      <c r="B94" s="166"/>
      <c r="D94" s="2"/>
      <c r="F94" s="6"/>
      <c r="H94" s="6"/>
      <c r="I94" s="165"/>
    </row>
    <row r="95" spans="2:9">
      <c r="B95" s="168" t="s">
        <v>55</v>
      </c>
      <c r="D95" s="2"/>
      <c r="F95" s="6"/>
      <c r="H95" s="6"/>
      <c r="I95" s="165"/>
    </row>
    <row r="96" spans="2:9">
      <c r="B96" s="169" t="s">
        <v>63</v>
      </c>
      <c r="D96" s="2"/>
      <c r="F96" s="6">
        <f>'Shipment Cost Schedule'!$F$35</f>
        <v>94.5</v>
      </c>
      <c r="G96" s="2" t="s">
        <v>18</v>
      </c>
      <c r="H96" s="6">
        <f>IF(F61="Japan",'Shipment Cost Schedule'!$H$35,0)</f>
        <v>0</v>
      </c>
      <c r="I96" s="165"/>
    </row>
    <row r="97" spans="2:9">
      <c r="B97" s="169" t="s">
        <v>578</v>
      </c>
      <c r="D97" s="2"/>
      <c r="F97" s="6">
        <f>'Shipment Cost Schedule'!$F$36</f>
        <v>45</v>
      </c>
      <c r="G97" s="2" t="s">
        <v>579</v>
      </c>
      <c r="H97" s="6">
        <f>IF(F61="Japan",'Shipment Cost Schedule'!$H$36,0)</f>
        <v>0</v>
      </c>
      <c r="I97" s="165"/>
    </row>
    <row r="98" spans="2:9">
      <c r="B98" s="169"/>
      <c r="D98" s="2"/>
      <c r="F98" s="6"/>
      <c r="H98" s="6"/>
      <c r="I98" s="165"/>
    </row>
    <row r="99" spans="2:9">
      <c r="B99" s="168" t="s">
        <v>51</v>
      </c>
      <c r="D99" s="2"/>
      <c r="F99" s="6"/>
      <c r="H99" s="6"/>
      <c r="I99" s="165"/>
    </row>
    <row r="100" spans="2:9">
      <c r="B100" s="169" t="s">
        <v>64</v>
      </c>
      <c r="D100" s="2"/>
      <c r="F100" s="6">
        <f>'Shipment Cost Schedule'!$F$38</f>
        <v>210</v>
      </c>
      <c r="G100" s="2" t="s">
        <v>18</v>
      </c>
      <c r="H100" s="6">
        <f>IF(F61="Brazil",'Shipment Cost Schedule'!$H$38,0)</f>
        <v>0</v>
      </c>
      <c r="I100" s="165"/>
    </row>
    <row r="101" spans="2:9">
      <c r="B101" s="166"/>
      <c r="E101" s="4"/>
      <c r="F101" s="6"/>
      <c r="H101" s="6"/>
      <c r="I101" s="165"/>
    </row>
    <row r="102" spans="2:9" ht="20">
      <c r="B102" s="170" t="s">
        <v>80</v>
      </c>
      <c r="C102" s="21"/>
      <c r="D102" s="22"/>
      <c r="E102" s="21"/>
      <c r="H102" s="23">
        <f>Home!F22-Home!N12</f>
        <v>0</v>
      </c>
      <c r="I102" s="165"/>
    </row>
    <row r="103" spans="2:9" ht="20.5" thickBot="1">
      <c r="B103" s="171" t="s">
        <v>79</v>
      </c>
      <c r="C103" s="172"/>
      <c r="D103" s="173"/>
      <c r="E103" s="172"/>
      <c r="F103" s="174"/>
      <c r="G103" s="365"/>
      <c r="H103" s="175">
        <f>Home!F22</f>
        <v>0</v>
      </c>
      <c r="I103" s="176"/>
    </row>
    <row r="104" spans="2:9">
      <c r="D104" s="2"/>
      <c r="F104" s="6"/>
      <c r="G104" s="6"/>
      <c r="H104" s="6"/>
    </row>
    <row r="105" spans="2:9" ht="16" thickBot="1">
      <c r="D105" s="2"/>
      <c r="F105" s="6"/>
      <c r="G105" s="8"/>
      <c r="H105" s="6"/>
    </row>
    <row r="106" spans="2:9" ht="20">
      <c r="B106" s="159" t="s">
        <v>71</v>
      </c>
      <c r="C106" s="160" t="s">
        <v>37</v>
      </c>
      <c r="D106" s="160" t="s">
        <v>39</v>
      </c>
      <c r="E106" s="161" t="s">
        <v>41</v>
      </c>
      <c r="F106" s="160" t="s">
        <v>62</v>
      </c>
      <c r="G106" s="162"/>
      <c r="H106" s="162"/>
      <c r="I106" s="163"/>
    </row>
    <row r="107" spans="2:9" ht="20">
      <c r="B107" s="164">
        <f>Home!B13</f>
        <v>0</v>
      </c>
      <c r="C107" s="19">
        <f>Home!C13</f>
        <v>0</v>
      </c>
      <c r="D107" s="19">
        <f>Home!D13</f>
        <v>0</v>
      </c>
      <c r="E107" s="20">
        <f>Home!G13</f>
        <v>0</v>
      </c>
      <c r="F107" s="19" t="str">
        <f>Home!E23</f>
        <v>Select Market</v>
      </c>
      <c r="I107" s="165"/>
    </row>
    <row r="108" spans="2:9">
      <c r="B108" s="166"/>
      <c r="I108" s="165"/>
    </row>
    <row r="109" spans="2:9">
      <c r="B109" s="167" t="s">
        <v>65</v>
      </c>
      <c r="D109" s="2"/>
      <c r="F109" s="878" t="s">
        <v>77</v>
      </c>
      <c r="G109" s="878"/>
      <c r="H109" s="879" t="s">
        <v>78</v>
      </c>
      <c r="I109" s="880"/>
    </row>
    <row r="110" spans="2:9">
      <c r="B110" s="166" t="s">
        <v>0</v>
      </c>
      <c r="D110" s="2"/>
      <c r="F110" s="6">
        <f>'Shipment Cost Schedule'!$F$5</f>
        <v>3</v>
      </c>
      <c r="G110" s="2" t="s">
        <v>76</v>
      </c>
      <c r="H110" s="6">
        <f>'Shipment Cost Schedule'!$H$5</f>
        <v>2.976190476190476E-2</v>
      </c>
      <c r="I110" s="165" t="s">
        <v>17</v>
      </c>
    </row>
    <row r="111" spans="2:9">
      <c r="B111" s="166" t="s">
        <v>1</v>
      </c>
      <c r="D111" s="2"/>
      <c r="F111" s="6">
        <f>'Shipment Cost Schedule'!$F$6</f>
        <v>20</v>
      </c>
      <c r="G111" s="6" t="s">
        <v>19</v>
      </c>
      <c r="H111" s="6">
        <f>'Shipment Cost Schedule'!$H$6</f>
        <v>0.35714285714285715</v>
      </c>
      <c r="I111" s="165" t="s">
        <v>30</v>
      </c>
    </row>
    <row r="112" spans="2:9">
      <c r="B112" s="166" t="s">
        <v>209</v>
      </c>
      <c r="D112" s="2"/>
      <c r="F112" s="6">
        <f>'Shipment Cost Schedule'!$F$7</f>
        <v>30</v>
      </c>
      <c r="G112" s="6" t="s">
        <v>19</v>
      </c>
      <c r="H112" s="6">
        <f>'Shipment Cost Schedule'!$H$7</f>
        <v>0.5357142857142857</v>
      </c>
      <c r="I112" s="165"/>
    </row>
    <row r="113" spans="2:9">
      <c r="B113" s="166" t="s">
        <v>16</v>
      </c>
      <c r="D113" s="2"/>
      <c r="F113" s="6">
        <f>'Shipment Cost Schedule'!$F$8</f>
        <v>25</v>
      </c>
      <c r="G113" s="6" t="s">
        <v>21</v>
      </c>
      <c r="H113" s="6">
        <f>'Shipment Cost Schedule'!$H$8</f>
        <v>2.5000000000000001E-2</v>
      </c>
      <c r="I113" s="165"/>
    </row>
    <row r="114" spans="2:9">
      <c r="B114" s="166" t="s">
        <v>14</v>
      </c>
      <c r="D114" s="2"/>
      <c r="F114" s="6">
        <f>'Shipment Cost Schedule'!$F$9</f>
        <v>245</v>
      </c>
      <c r="G114" s="8" t="s">
        <v>18</v>
      </c>
      <c r="H114" s="6">
        <f>'Shipment Cost Schedule'!$H$9</f>
        <v>0.245</v>
      </c>
      <c r="I114" s="165" t="s">
        <v>25</v>
      </c>
    </row>
    <row r="115" spans="2:9">
      <c r="B115" s="166" t="s">
        <v>11</v>
      </c>
      <c r="D115" s="2"/>
      <c r="F115" s="6">
        <f>'Shipment Cost Schedule'!$F$10</f>
        <v>80</v>
      </c>
      <c r="G115" s="2" t="s">
        <v>18</v>
      </c>
      <c r="H115" s="6">
        <f>'Shipment Cost Schedule'!$H$10</f>
        <v>0.08</v>
      </c>
      <c r="I115" s="165" t="s">
        <v>25</v>
      </c>
    </row>
    <row r="116" spans="2:9">
      <c r="B116" s="166" t="s">
        <v>4</v>
      </c>
      <c r="D116" s="2"/>
      <c r="F116" s="6">
        <f>'Shipment Cost Schedule'!$F$11</f>
        <v>45</v>
      </c>
      <c r="G116" s="2" t="s">
        <v>18</v>
      </c>
      <c r="H116" s="6">
        <f>'Shipment Cost Schedule'!$H$11</f>
        <v>4.4999999999999998E-2</v>
      </c>
      <c r="I116" s="165" t="s">
        <v>25</v>
      </c>
    </row>
    <row r="117" spans="2:9">
      <c r="B117" s="166" t="s">
        <v>13</v>
      </c>
      <c r="D117" s="2"/>
      <c r="F117" s="6">
        <f>'Shipment Cost Schedule'!$F$12</f>
        <v>10</v>
      </c>
      <c r="G117" s="2" t="s">
        <v>18</v>
      </c>
      <c r="H117" s="6">
        <f>'Shipment Cost Schedule'!$H$12</f>
        <v>0.01</v>
      </c>
      <c r="I117" s="165" t="s">
        <v>25</v>
      </c>
    </row>
    <row r="118" spans="2:9">
      <c r="B118" s="166" t="s">
        <v>5</v>
      </c>
      <c r="D118" s="2"/>
      <c r="F118" s="6">
        <f>'Shipment Cost Schedule'!$F$13</f>
        <v>95</v>
      </c>
      <c r="G118" s="2" t="s">
        <v>22</v>
      </c>
      <c r="H118" s="6">
        <f>'Shipment Cost Schedule'!$H$13</f>
        <v>9.5000000000000001E-2</v>
      </c>
      <c r="I118" s="165" t="s">
        <v>25</v>
      </c>
    </row>
    <row r="119" spans="2:9">
      <c r="B119" s="166" t="s">
        <v>29</v>
      </c>
      <c r="D119" s="2"/>
      <c r="F119" s="6">
        <f>'Shipment Cost Schedule'!$F$14</f>
        <v>25</v>
      </c>
      <c r="G119" s="2" t="s">
        <v>18</v>
      </c>
      <c r="H119" s="6">
        <f>'Shipment Cost Schedule'!$H$14</f>
        <v>2.5000000000000001E-2</v>
      </c>
      <c r="I119" s="165" t="s">
        <v>25</v>
      </c>
    </row>
    <row r="120" spans="2:9">
      <c r="B120" s="166" t="s">
        <v>6</v>
      </c>
      <c r="D120" s="2"/>
      <c r="F120" s="6">
        <f>'Shipment Cost Schedule'!$F$15</f>
        <v>35</v>
      </c>
      <c r="G120" s="2" t="s">
        <v>23</v>
      </c>
      <c r="H120" s="6">
        <f>'Shipment Cost Schedule'!$H$15</f>
        <v>3.5000000000000003E-2</v>
      </c>
      <c r="I120" s="165" t="s">
        <v>24</v>
      </c>
    </row>
    <row r="121" spans="2:9">
      <c r="B121" s="166" t="s">
        <v>10</v>
      </c>
      <c r="D121" s="2"/>
      <c r="F121" s="6">
        <f>'Shipment Cost Schedule'!$F$16</f>
        <v>865</v>
      </c>
      <c r="G121" s="2" t="s">
        <v>18</v>
      </c>
      <c r="H121" s="6">
        <f>'Shipment Cost Schedule'!$H$16</f>
        <v>0.86499999999999999</v>
      </c>
      <c r="I121" s="165"/>
    </row>
    <row r="122" spans="2:9">
      <c r="B122" s="166" t="s">
        <v>580</v>
      </c>
      <c r="D122" s="2"/>
      <c r="F122" s="6">
        <f>'Shipment Cost Schedule'!$F$17</f>
        <v>715</v>
      </c>
      <c r="G122" s="2" t="s">
        <v>18</v>
      </c>
      <c r="H122" s="6">
        <f>'Shipment Cost Schedule'!$H$17</f>
        <v>0.71499999999999997</v>
      </c>
      <c r="I122" s="165"/>
    </row>
    <row r="123" spans="2:9">
      <c r="B123" s="166"/>
      <c r="D123" s="2"/>
      <c r="F123" s="6"/>
      <c r="H123" s="6"/>
      <c r="I123" s="165"/>
    </row>
    <row r="124" spans="2:9">
      <c r="B124" s="167" t="s">
        <v>7</v>
      </c>
      <c r="D124" s="2"/>
      <c r="F124" s="6"/>
      <c r="G124" s="4"/>
      <c r="H124" s="6"/>
      <c r="I124" s="165"/>
    </row>
    <row r="125" spans="2:9">
      <c r="B125" s="166" t="s">
        <v>8</v>
      </c>
      <c r="D125" s="2"/>
      <c r="F125" s="6">
        <f>'Shipment Cost Schedule'!$F$20</f>
        <v>40</v>
      </c>
      <c r="G125" s="4" t="s">
        <v>27</v>
      </c>
      <c r="H125" s="6">
        <f>'Shipment Cost Schedule'!$H$20</f>
        <v>0.04</v>
      </c>
      <c r="I125" s="165"/>
    </row>
    <row r="126" spans="2:9">
      <c r="B126" s="166" t="s">
        <v>9</v>
      </c>
      <c r="D126" s="2"/>
      <c r="F126" s="6">
        <f>'Shipment Cost Schedule'!$F$21</f>
        <v>15</v>
      </c>
      <c r="G126" s="4" t="s">
        <v>26</v>
      </c>
      <c r="H126" s="6">
        <f>'Shipment Cost Schedule'!$H$21</f>
        <v>1.3392857142857142</v>
      </c>
      <c r="I126" s="165" t="s">
        <v>67</v>
      </c>
    </row>
    <row r="127" spans="2:9">
      <c r="B127" s="166" t="s">
        <v>12</v>
      </c>
      <c r="D127" s="2"/>
      <c r="F127" s="6">
        <f>'Shipment Cost Schedule'!$F$22</f>
        <v>35</v>
      </c>
      <c r="G127" s="4" t="s">
        <v>28</v>
      </c>
      <c r="H127" s="6">
        <f>'Shipment Cost Schedule'!$H$22</f>
        <v>3.5000000000000003E-2</v>
      </c>
      <c r="I127" s="165"/>
    </row>
    <row r="128" spans="2:9">
      <c r="B128" s="166"/>
      <c r="D128" s="2"/>
      <c r="F128" s="6"/>
      <c r="H128" s="6"/>
      <c r="I128" s="165"/>
    </row>
    <row r="129" spans="2:9">
      <c r="B129" s="167" t="s">
        <v>66</v>
      </c>
      <c r="D129" s="2"/>
      <c r="F129" s="6"/>
      <c r="H129" s="6"/>
      <c r="I129" s="165"/>
    </row>
    <row r="130" spans="2:9">
      <c r="B130" s="168" t="s">
        <v>34</v>
      </c>
      <c r="D130" s="2"/>
      <c r="F130" s="6"/>
      <c r="H130" s="6"/>
      <c r="I130" s="165"/>
    </row>
    <row r="131" spans="2:9">
      <c r="B131" s="166" t="s">
        <v>2</v>
      </c>
      <c r="D131" s="2"/>
      <c r="F131" s="6">
        <f>'Shipment Cost Schedule'!$F$26</f>
        <v>25</v>
      </c>
      <c r="G131" s="2" t="s">
        <v>18</v>
      </c>
      <c r="H131" s="6">
        <f>IF(F107="China",'Shipment Cost Schedule'!$H$26,0)</f>
        <v>0</v>
      </c>
      <c r="I131" s="165"/>
    </row>
    <row r="132" spans="2:9">
      <c r="B132" s="166" t="s">
        <v>3</v>
      </c>
      <c r="D132" s="2"/>
      <c r="F132" s="6">
        <f>'Shipment Cost Schedule'!$F$27</f>
        <v>25</v>
      </c>
      <c r="G132" s="2" t="s">
        <v>18</v>
      </c>
      <c r="H132" s="6">
        <f>IF(F107="China",'Shipment Cost Schedule'!$H$27,0)</f>
        <v>0</v>
      </c>
      <c r="I132" s="165"/>
    </row>
    <row r="133" spans="2:9">
      <c r="B133" s="166" t="s">
        <v>35</v>
      </c>
      <c r="D133" s="2"/>
      <c r="F133" s="6">
        <f>'Shipment Cost Schedule'!$F$28</f>
        <v>0</v>
      </c>
      <c r="G133" s="2" t="s">
        <v>18</v>
      </c>
      <c r="H133" s="6">
        <f>IF(F107="China",'Shipment Cost Schedule'!H120,0)</f>
        <v>0</v>
      </c>
      <c r="I133" s="165"/>
    </row>
    <row r="134" spans="2:9">
      <c r="B134" s="166" t="s">
        <v>68</v>
      </c>
      <c r="D134" s="2"/>
      <c r="F134" s="6">
        <f>'Shipment Cost Schedule'!$F$29</f>
        <v>34.65</v>
      </c>
      <c r="G134" s="2" t="s">
        <v>20</v>
      </c>
      <c r="H134" s="6">
        <f>IF(F107="China",'Shipment Cost Schedule'!$H$29,0)</f>
        <v>0</v>
      </c>
      <c r="I134" s="165"/>
    </row>
    <row r="135" spans="2:9">
      <c r="B135" s="166" t="s">
        <v>577</v>
      </c>
      <c r="D135" s="2"/>
      <c r="F135" s="6">
        <f>'Shipment Cost Schedule'!$F$30</f>
        <v>30</v>
      </c>
      <c r="G135" s="2" t="s">
        <v>18</v>
      </c>
      <c r="H135" s="6">
        <f>IF(F107="China",'Shipment Cost Schedule'!$H$30,0)</f>
        <v>0</v>
      </c>
      <c r="I135" s="165"/>
    </row>
    <row r="136" spans="2:9">
      <c r="B136" s="166" t="s">
        <v>578</v>
      </c>
      <c r="D136" s="2"/>
      <c r="F136" s="6">
        <f>'Shipment Cost Schedule'!$F$31</f>
        <v>45</v>
      </c>
      <c r="G136" s="2" t="s">
        <v>579</v>
      </c>
      <c r="H136" s="6">
        <f>IF(F107="China",'Shipment Cost Schedule'!$H$31,0)</f>
        <v>0</v>
      </c>
      <c r="I136" s="165"/>
    </row>
    <row r="137" spans="2:9">
      <c r="B137" s="166"/>
      <c r="D137" s="2"/>
      <c r="F137" s="6"/>
      <c r="H137" s="6"/>
      <c r="I137" s="165"/>
    </row>
    <row r="138" spans="2:9">
      <c r="B138" s="168" t="s">
        <v>36</v>
      </c>
      <c r="D138" s="2"/>
      <c r="F138" s="6"/>
      <c r="H138" s="6"/>
      <c r="I138" s="165"/>
    </row>
    <row r="139" spans="2:9">
      <c r="B139" s="166" t="s">
        <v>38</v>
      </c>
      <c r="D139" s="2"/>
      <c r="F139" s="6">
        <f>'Shipment Cost Schedule'!$F$33</f>
        <v>47.25</v>
      </c>
      <c r="G139" s="2" t="s">
        <v>18</v>
      </c>
      <c r="H139" s="6">
        <f>_xlfn.IFS(F107="Select Market",0,F107="USA",0,F107="UK",'Shipment Cost Schedule'!$H$33,F107="Belgium",'Shipment Cost Schedule'!$H$33,F107="Brazil",0,F107="Canada",0,F107="China",0,F107="Denmark",'Shipment Cost Schedule'!$H$33,F107="Germany",'Shipment Cost Schedule'!$H$33,F107="Japan",0,F107="Netherlands",'Shipment Cost Schedule'!$H$33,F107="Poland",'Shipment Cost Schedule'!$H$33,F107="Singapore",0,F107="South Korea",0,F107="Sweden",'Shipment Cost Schedule'!$H$33,F107="Thailand",0,F107="Other",0)</f>
        <v>0</v>
      </c>
      <c r="I139" s="165"/>
    </row>
    <row r="140" spans="2:9">
      <c r="B140" s="166"/>
      <c r="D140" s="2"/>
      <c r="F140" s="6"/>
      <c r="H140" s="6"/>
      <c r="I140" s="165"/>
    </row>
    <row r="141" spans="2:9">
      <c r="B141" s="168" t="s">
        <v>55</v>
      </c>
      <c r="D141" s="2"/>
      <c r="F141" s="6"/>
      <c r="H141" s="6"/>
      <c r="I141" s="165"/>
    </row>
    <row r="142" spans="2:9">
      <c r="B142" s="169" t="s">
        <v>63</v>
      </c>
      <c r="D142" s="2"/>
      <c r="F142" s="6">
        <f>'Shipment Cost Schedule'!$F$35</f>
        <v>94.5</v>
      </c>
      <c r="G142" s="2" t="s">
        <v>18</v>
      </c>
      <c r="H142" s="6">
        <f>IF(F107="Japan",'Shipment Cost Schedule'!$H$35,0)</f>
        <v>0</v>
      </c>
      <c r="I142" s="165"/>
    </row>
    <row r="143" spans="2:9">
      <c r="B143" s="169" t="s">
        <v>578</v>
      </c>
      <c r="D143" s="2"/>
      <c r="F143" s="6">
        <f>'Shipment Cost Schedule'!$F$36</f>
        <v>45</v>
      </c>
      <c r="G143" s="2" t="s">
        <v>579</v>
      </c>
      <c r="H143" s="6">
        <f>IF(F107="Japan",'Shipment Cost Schedule'!$H$36,0)</f>
        <v>0</v>
      </c>
      <c r="I143" s="165"/>
    </row>
    <row r="144" spans="2:9">
      <c r="B144" s="169"/>
      <c r="D144" s="2"/>
      <c r="F144" s="6"/>
      <c r="H144" s="6"/>
      <c r="I144" s="165"/>
    </row>
    <row r="145" spans="2:9">
      <c r="B145" s="168" t="s">
        <v>51</v>
      </c>
      <c r="D145" s="2"/>
      <c r="F145" s="6"/>
      <c r="H145" s="6"/>
      <c r="I145" s="165"/>
    </row>
    <row r="146" spans="2:9">
      <c r="B146" s="169" t="s">
        <v>64</v>
      </c>
      <c r="D146" s="2"/>
      <c r="F146" s="6">
        <f>'Shipment Cost Schedule'!$F$38</f>
        <v>210</v>
      </c>
      <c r="G146" s="2" t="s">
        <v>18</v>
      </c>
      <c r="H146" s="6">
        <f>IF(F107="Brazil",'Shipment Cost Schedule'!$H$38,0)</f>
        <v>0</v>
      </c>
      <c r="I146" s="165"/>
    </row>
    <row r="147" spans="2:9">
      <c r="B147" s="166"/>
      <c r="E147" s="4"/>
      <c r="F147" s="6"/>
      <c r="H147" s="6"/>
      <c r="I147" s="165"/>
    </row>
    <row r="148" spans="2:9" ht="20">
      <c r="B148" s="170" t="s">
        <v>80</v>
      </c>
      <c r="C148" s="21"/>
      <c r="D148" s="22"/>
      <c r="E148" s="21"/>
      <c r="H148" s="23">
        <f>Home!F23-Home!N13</f>
        <v>0</v>
      </c>
      <c r="I148" s="165"/>
    </row>
    <row r="149" spans="2:9" ht="20.5" thickBot="1">
      <c r="B149" s="171" t="s">
        <v>79</v>
      </c>
      <c r="C149" s="172"/>
      <c r="D149" s="173"/>
      <c r="E149" s="172"/>
      <c r="F149" s="174"/>
      <c r="G149" s="365"/>
      <c r="H149" s="175">
        <f>Home!F23</f>
        <v>0</v>
      </c>
      <c r="I149" s="176"/>
    </row>
    <row r="150" spans="2:9">
      <c r="D150" s="2"/>
      <c r="F150" s="6"/>
      <c r="H150" s="6"/>
    </row>
    <row r="151" spans="2:9" ht="16" thickBot="1">
      <c r="D151" s="2"/>
      <c r="F151" s="6"/>
      <c r="H151" s="6"/>
    </row>
    <row r="152" spans="2:9" ht="20">
      <c r="B152" s="159" t="s">
        <v>71</v>
      </c>
      <c r="C152" s="160" t="s">
        <v>37</v>
      </c>
      <c r="D152" s="160" t="s">
        <v>39</v>
      </c>
      <c r="E152" s="161" t="s">
        <v>41</v>
      </c>
      <c r="F152" s="160" t="s">
        <v>62</v>
      </c>
      <c r="G152" s="162"/>
      <c r="H152" s="162"/>
      <c r="I152" s="163"/>
    </row>
    <row r="153" spans="2:9" ht="20">
      <c r="B153" s="164">
        <f>Home!B14</f>
        <v>0</v>
      </c>
      <c r="C153" s="19">
        <f>Home!C14</f>
        <v>0</v>
      </c>
      <c r="D153" s="19">
        <f>Home!D14</f>
        <v>0</v>
      </c>
      <c r="E153" s="20">
        <f>Home!G14</f>
        <v>0</v>
      </c>
      <c r="F153" s="19" t="str">
        <f>Home!E24</f>
        <v>Select Market</v>
      </c>
      <c r="I153" s="165"/>
    </row>
    <row r="154" spans="2:9">
      <c r="B154" s="166"/>
      <c r="I154" s="165"/>
    </row>
    <row r="155" spans="2:9">
      <c r="B155" s="167" t="s">
        <v>65</v>
      </c>
      <c r="D155" s="2"/>
      <c r="F155" s="878" t="s">
        <v>77</v>
      </c>
      <c r="G155" s="878"/>
      <c r="H155" s="879" t="s">
        <v>78</v>
      </c>
      <c r="I155" s="880"/>
    </row>
    <row r="156" spans="2:9">
      <c r="B156" s="166" t="s">
        <v>0</v>
      </c>
      <c r="D156" s="2"/>
      <c r="F156" s="6">
        <f>'Shipment Cost Schedule'!$F$5</f>
        <v>3</v>
      </c>
      <c r="G156" s="2" t="s">
        <v>76</v>
      </c>
      <c r="H156" s="6">
        <f>'Shipment Cost Schedule'!$H$5</f>
        <v>2.976190476190476E-2</v>
      </c>
      <c r="I156" s="165" t="s">
        <v>17</v>
      </c>
    </row>
    <row r="157" spans="2:9">
      <c r="B157" s="166" t="s">
        <v>1</v>
      </c>
      <c r="D157" s="2"/>
      <c r="F157" s="6">
        <f>'Shipment Cost Schedule'!$F$6</f>
        <v>20</v>
      </c>
      <c r="G157" s="6" t="s">
        <v>19</v>
      </c>
      <c r="H157" s="6">
        <f>'Shipment Cost Schedule'!$H$6</f>
        <v>0.35714285714285715</v>
      </c>
      <c r="I157" s="165" t="s">
        <v>30</v>
      </c>
    </row>
    <row r="158" spans="2:9">
      <c r="B158" s="166" t="s">
        <v>209</v>
      </c>
      <c r="D158" s="2"/>
      <c r="F158" s="6">
        <f>'Shipment Cost Schedule'!$F$7</f>
        <v>30</v>
      </c>
      <c r="G158" s="6" t="s">
        <v>19</v>
      </c>
      <c r="H158" s="6">
        <f>'Shipment Cost Schedule'!$H$7</f>
        <v>0.5357142857142857</v>
      </c>
      <c r="I158" s="165"/>
    </row>
    <row r="159" spans="2:9">
      <c r="B159" s="166" t="s">
        <v>16</v>
      </c>
      <c r="D159" s="2"/>
      <c r="F159" s="6">
        <f>'Shipment Cost Schedule'!$F$8</f>
        <v>25</v>
      </c>
      <c r="G159" s="6" t="s">
        <v>21</v>
      </c>
      <c r="H159" s="6">
        <f>'Shipment Cost Schedule'!$H$8</f>
        <v>2.5000000000000001E-2</v>
      </c>
      <c r="I159" s="165"/>
    </row>
    <row r="160" spans="2:9">
      <c r="B160" s="166" t="s">
        <v>14</v>
      </c>
      <c r="D160" s="2"/>
      <c r="F160" s="6">
        <f>'Shipment Cost Schedule'!$F$9</f>
        <v>245</v>
      </c>
      <c r="G160" s="8" t="s">
        <v>18</v>
      </c>
      <c r="H160" s="6">
        <f>'Shipment Cost Schedule'!$H$9</f>
        <v>0.245</v>
      </c>
      <c r="I160" s="165" t="s">
        <v>25</v>
      </c>
    </row>
    <row r="161" spans="2:9">
      <c r="B161" s="166" t="s">
        <v>11</v>
      </c>
      <c r="D161" s="2"/>
      <c r="F161" s="6">
        <f>'Shipment Cost Schedule'!$F$10</f>
        <v>80</v>
      </c>
      <c r="G161" s="2" t="s">
        <v>18</v>
      </c>
      <c r="H161" s="6">
        <f>'Shipment Cost Schedule'!$H$10</f>
        <v>0.08</v>
      </c>
      <c r="I161" s="165" t="s">
        <v>25</v>
      </c>
    </row>
    <row r="162" spans="2:9">
      <c r="B162" s="166" t="s">
        <v>4</v>
      </c>
      <c r="D162" s="2"/>
      <c r="F162" s="6">
        <f>'Shipment Cost Schedule'!$F$11</f>
        <v>45</v>
      </c>
      <c r="G162" s="2" t="s">
        <v>18</v>
      </c>
      <c r="H162" s="6">
        <f>'Shipment Cost Schedule'!$H$11</f>
        <v>4.4999999999999998E-2</v>
      </c>
      <c r="I162" s="165" t="s">
        <v>25</v>
      </c>
    </row>
    <row r="163" spans="2:9">
      <c r="B163" s="166" t="s">
        <v>13</v>
      </c>
      <c r="D163" s="2"/>
      <c r="F163" s="6">
        <f>'Shipment Cost Schedule'!$F$12</f>
        <v>10</v>
      </c>
      <c r="G163" s="2" t="s">
        <v>18</v>
      </c>
      <c r="H163" s="6">
        <f>'Shipment Cost Schedule'!$H$12</f>
        <v>0.01</v>
      </c>
      <c r="I163" s="165" t="s">
        <v>25</v>
      </c>
    </row>
    <row r="164" spans="2:9">
      <c r="B164" s="166" t="s">
        <v>5</v>
      </c>
      <c r="D164" s="2"/>
      <c r="F164" s="6">
        <f>'Shipment Cost Schedule'!$F$13</f>
        <v>95</v>
      </c>
      <c r="G164" s="2" t="s">
        <v>22</v>
      </c>
      <c r="H164" s="6">
        <f>'Shipment Cost Schedule'!$H$13</f>
        <v>9.5000000000000001E-2</v>
      </c>
      <c r="I164" s="165" t="s">
        <v>25</v>
      </c>
    </row>
    <row r="165" spans="2:9">
      <c r="B165" s="166" t="s">
        <v>29</v>
      </c>
      <c r="D165" s="2"/>
      <c r="F165" s="6">
        <f>'Shipment Cost Schedule'!$F$14</f>
        <v>25</v>
      </c>
      <c r="G165" s="2" t="s">
        <v>18</v>
      </c>
      <c r="H165" s="6">
        <f>'Shipment Cost Schedule'!$H$14</f>
        <v>2.5000000000000001E-2</v>
      </c>
      <c r="I165" s="165" t="s">
        <v>25</v>
      </c>
    </row>
    <row r="166" spans="2:9">
      <c r="B166" s="166" t="s">
        <v>6</v>
      </c>
      <c r="D166" s="2"/>
      <c r="F166" s="6">
        <f>'Shipment Cost Schedule'!$F$15</f>
        <v>35</v>
      </c>
      <c r="G166" s="2" t="s">
        <v>23</v>
      </c>
      <c r="H166" s="6">
        <f>'Shipment Cost Schedule'!$H$15</f>
        <v>3.5000000000000003E-2</v>
      </c>
      <c r="I166" s="165" t="s">
        <v>24</v>
      </c>
    </row>
    <row r="167" spans="2:9">
      <c r="B167" s="166" t="s">
        <v>10</v>
      </c>
      <c r="D167" s="2"/>
      <c r="F167" s="6">
        <f>'Shipment Cost Schedule'!$F$16</f>
        <v>865</v>
      </c>
      <c r="G167" s="2" t="s">
        <v>18</v>
      </c>
      <c r="H167" s="6">
        <f>'Shipment Cost Schedule'!$H$16</f>
        <v>0.86499999999999999</v>
      </c>
      <c r="I167" s="165"/>
    </row>
    <row r="168" spans="2:9">
      <c r="B168" s="166" t="s">
        <v>580</v>
      </c>
      <c r="D168" s="2"/>
      <c r="F168" s="6">
        <f>'Shipment Cost Schedule'!$F$17</f>
        <v>715</v>
      </c>
      <c r="G168" s="2" t="s">
        <v>18</v>
      </c>
      <c r="H168" s="6">
        <f>'Shipment Cost Schedule'!$H$17</f>
        <v>0.71499999999999997</v>
      </c>
      <c r="I168" s="165"/>
    </row>
    <row r="169" spans="2:9">
      <c r="B169" s="166"/>
      <c r="D169" s="2"/>
      <c r="F169" s="6"/>
      <c r="H169" s="6"/>
      <c r="I169" s="165"/>
    </row>
    <row r="170" spans="2:9">
      <c r="B170" s="167" t="s">
        <v>7</v>
      </c>
      <c r="D170" s="2"/>
      <c r="F170" s="6"/>
      <c r="G170" s="4"/>
      <c r="H170" s="6"/>
      <c r="I170" s="165"/>
    </row>
    <row r="171" spans="2:9">
      <c r="B171" s="166" t="s">
        <v>8</v>
      </c>
      <c r="D171" s="2"/>
      <c r="F171" s="6">
        <f>'Shipment Cost Schedule'!$F$20</f>
        <v>40</v>
      </c>
      <c r="G171" s="4" t="s">
        <v>27</v>
      </c>
      <c r="H171" s="6">
        <f>'Shipment Cost Schedule'!$H$20</f>
        <v>0.04</v>
      </c>
      <c r="I171" s="165"/>
    </row>
    <row r="172" spans="2:9">
      <c r="B172" s="166" t="s">
        <v>9</v>
      </c>
      <c r="D172" s="2"/>
      <c r="F172" s="6">
        <f>'Shipment Cost Schedule'!$F$21</f>
        <v>15</v>
      </c>
      <c r="G172" s="4" t="s">
        <v>26</v>
      </c>
      <c r="H172" s="6">
        <f>'Shipment Cost Schedule'!$H$21</f>
        <v>1.3392857142857142</v>
      </c>
      <c r="I172" s="165" t="s">
        <v>67</v>
      </c>
    </row>
    <row r="173" spans="2:9">
      <c r="B173" s="166" t="s">
        <v>12</v>
      </c>
      <c r="D173" s="2"/>
      <c r="F173" s="6">
        <f>'Shipment Cost Schedule'!$F$22</f>
        <v>35</v>
      </c>
      <c r="G173" s="4" t="s">
        <v>28</v>
      </c>
      <c r="H173" s="6">
        <f>'Shipment Cost Schedule'!$H$22</f>
        <v>3.5000000000000003E-2</v>
      </c>
      <c r="I173" s="165"/>
    </row>
    <row r="174" spans="2:9">
      <c r="B174" s="166"/>
      <c r="D174" s="2"/>
      <c r="F174" s="6"/>
      <c r="H174" s="6"/>
      <c r="I174" s="165"/>
    </row>
    <row r="175" spans="2:9">
      <c r="B175" s="167" t="s">
        <v>66</v>
      </c>
      <c r="D175" s="2"/>
      <c r="F175" s="6"/>
      <c r="H175" s="6"/>
      <c r="I175" s="165"/>
    </row>
    <row r="176" spans="2:9">
      <c r="B176" s="168" t="s">
        <v>34</v>
      </c>
      <c r="D176" s="2"/>
      <c r="F176" s="6"/>
      <c r="H176" s="6"/>
      <c r="I176" s="165"/>
    </row>
    <row r="177" spans="2:9">
      <c r="B177" s="166" t="s">
        <v>2</v>
      </c>
      <c r="D177" s="2"/>
      <c r="F177" s="6">
        <f>'Shipment Cost Schedule'!$F$26</f>
        <v>25</v>
      </c>
      <c r="G177" s="2" t="s">
        <v>18</v>
      </c>
      <c r="H177" s="6">
        <f>IF(F153="China",'Shipment Cost Schedule'!$H$26,0)</f>
        <v>0</v>
      </c>
      <c r="I177" s="165"/>
    </row>
    <row r="178" spans="2:9">
      <c r="B178" s="166" t="s">
        <v>3</v>
      </c>
      <c r="D178" s="2"/>
      <c r="F178" s="6">
        <f>'Shipment Cost Schedule'!$F$27</f>
        <v>25</v>
      </c>
      <c r="G178" s="2" t="s">
        <v>18</v>
      </c>
      <c r="H178" s="6">
        <f>IF(F153="China",'Shipment Cost Schedule'!$H$27,0)</f>
        <v>0</v>
      </c>
      <c r="I178" s="165"/>
    </row>
    <row r="179" spans="2:9">
      <c r="B179" s="166" t="s">
        <v>35</v>
      </c>
      <c r="D179" s="2"/>
      <c r="F179" s="6">
        <f>'Shipment Cost Schedule'!$F$28</f>
        <v>0</v>
      </c>
      <c r="G179" s="2" t="s">
        <v>18</v>
      </c>
      <c r="H179" s="6">
        <f>IF(F153="China",'Shipment Cost Schedule'!H166,0)</f>
        <v>0</v>
      </c>
      <c r="I179" s="165"/>
    </row>
    <row r="180" spans="2:9">
      <c r="B180" s="166" t="s">
        <v>68</v>
      </c>
      <c r="D180" s="2"/>
      <c r="F180" s="6">
        <f>'Shipment Cost Schedule'!$F$29</f>
        <v>34.65</v>
      </c>
      <c r="G180" s="2" t="s">
        <v>20</v>
      </c>
      <c r="H180" s="6">
        <f>IF(F153="China",'Shipment Cost Schedule'!$H$29,0)</f>
        <v>0</v>
      </c>
      <c r="I180" s="165"/>
    </row>
    <row r="181" spans="2:9">
      <c r="B181" s="166" t="s">
        <v>577</v>
      </c>
      <c r="D181" s="2"/>
      <c r="F181" s="6">
        <f>'Shipment Cost Schedule'!$F$30</f>
        <v>30</v>
      </c>
      <c r="G181" s="2" t="s">
        <v>18</v>
      </c>
      <c r="H181" s="6">
        <f>IF(F153="China",'Shipment Cost Schedule'!$H$30,0)</f>
        <v>0</v>
      </c>
      <c r="I181" s="165"/>
    </row>
    <row r="182" spans="2:9">
      <c r="B182" s="166" t="s">
        <v>578</v>
      </c>
      <c r="D182" s="2"/>
      <c r="F182" s="6">
        <f>'Shipment Cost Schedule'!$F$31</f>
        <v>45</v>
      </c>
      <c r="G182" s="2" t="s">
        <v>579</v>
      </c>
      <c r="H182" s="6">
        <f>IF(F153="China",'Shipment Cost Schedule'!$H$31,0)</f>
        <v>0</v>
      </c>
      <c r="I182" s="165"/>
    </row>
    <row r="183" spans="2:9">
      <c r="B183" s="166"/>
      <c r="D183" s="2"/>
      <c r="F183" s="6"/>
      <c r="H183" s="6"/>
      <c r="I183" s="165"/>
    </row>
    <row r="184" spans="2:9">
      <c r="B184" s="168" t="s">
        <v>36</v>
      </c>
      <c r="D184" s="2"/>
      <c r="F184" s="6"/>
      <c r="H184" s="6"/>
      <c r="I184" s="165"/>
    </row>
    <row r="185" spans="2:9">
      <c r="B185" s="166" t="s">
        <v>38</v>
      </c>
      <c r="D185" s="2"/>
      <c r="F185" s="6">
        <f>'Shipment Cost Schedule'!$F$33</f>
        <v>47.25</v>
      </c>
      <c r="G185" s="2" t="s">
        <v>18</v>
      </c>
      <c r="H185" s="6">
        <f>_xlfn.IFS(F153="Select Market",0,F153="USA",0,F153="UK",'Shipment Cost Schedule'!$H$33,F153="Belgium",'Shipment Cost Schedule'!$H$33,F153="Brazil",0,F153="Canada",0,F153="China",0,F153="Denmark",'Shipment Cost Schedule'!$H$33,F153="Germany",'Shipment Cost Schedule'!$H$33,F153="Japan",0,F153="Netherlands",'Shipment Cost Schedule'!$H$33,F153="Poland",'Shipment Cost Schedule'!$H$33,F153="Singapore",0,F153="South Korea",0,F153="Sweden",'Shipment Cost Schedule'!$H$33,F153="Thailand",0,F153="Other",0)</f>
        <v>0</v>
      </c>
      <c r="I185" s="165"/>
    </row>
    <row r="186" spans="2:9">
      <c r="B186" s="166"/>
      <c r="D186" s="2"/>
      <c r="F186" s="6"/>
      <c r="H186" s="6"/>
      <c r="I186" s="165"/>
    </row>
    <row r="187" spans="2:9">
      <c r="B187" s="168" t="s">
        <v>55</v>
      </c>
      <c r="D187" s="2"/>
      <c r="F187" s="6"/>
      <c r="H187" s="6"/>
      <c r="I187" s="165"/>
    </row>
    <row r="188" spans="2:9">
      <c r="B188" s="169" t="s">
        <v>63</v>
      </c>
      <c r="D188" s="2"/>
      <c r="F188" s="6">
        <f>'Shipment Cost Schedule'!$F$35</f>
        <v>94.5</v>
      </c>
      <c r="G188" s="2" t="s">
        <v>18</v>
      </c>
      <c r="H188" s="6">
        <f>IF(F153="Japan",'Shipment Cost Schedule'!$H$35,0)</f>
        <v>0</v>
      </c>
      <c r="I188" s="165"/>
    </row>
    <row r="189" spans="2:9">
      <c r="B189" s="169" t="s">
        <v>578</v>
      </c>
      <c r="D189" s="2"/>
      <c r="F189" s="6">
        <f>'Shipment Cost Schedule'!$F$36</f>
        <v>45</v>
      </c>
      <c r="G189" s="2" t="s">
        <v>579</v>
      </c>
      <c r="H189" s="6">
        <f>IF(F153="Japan",'Shipment Cost Schedule'!$H$36,0)</f>
        <v>0</v>
      </c>
      <c r="I189" s="165"/>
    </row>
    <row r="190" spans="2:9">
      <c r="B190" s="169"/>
      <c r="D190" s="2"/>
      <c r="F190" s="6"/>
      <c r="H190" s="6"/>
      <c r="I190" s="165"/>
    </row>
    <row r="191" spans="2:9">
      <c r="B191" s="168" t="s">
        <v>51</v>
      </c>
      <c r="D191" s="2"/>
      <c r="F191" s="6"/>
      <c r="H191" s="6"/>
      <c r="I191" s="165"/>
    </row>
    <row r="192" spans="2:9">
      <c r="B192" s="169" t="s">
        <v>64</v>
      </c>
      <c r="D192" s="2"/>
      <c r="F192" s="6">
        <f>'Shipment Cost Schedule'!$F$38</f>
        <v>210</v>
      </c>
      <c r="G192" s="2" t="s">
        <v>18</v>
      </c>
      <c r="H192" s="6">
        <f>IF(F153="Brazil",'Shipment Cost Schedule'!$H$38,0)</f>
        <v>0</v>
      </c>
      <c r="I192" s="165"/>
    </row>
    <row r="193" spans="2:9">
      <c r="B193" s="166"/>
      <c r="E193" s="4"/>
      <c r="F193" s="6"/>
      <c r="H193" s="6"/>
      <c r="I193" s="165"/>
    </row>
    <row r="194" spans="2:9" ht="20">
      <c r="B194" s="170" t="s">
        <v>80</v>
      </c>
      <c r="C194" s="21"/>
      <c r="D194" s="22"/>
      <c r="E194" s="21"/>
      <c r="H194" s="23">
        <f>Home!F24-Home!N14</f>
        <v>0</v>
      </c>
      <c r="I194" s="165"/>
    </row>
    <row r="195" spans="2:9" ht="20.5" thickBot="1">
      <c r="B195" s="171" t="s">
        <v>79</v>
      </c>
      <c r="C195" s="172"/>
      <c r="D195" s="173"/>
      <c r="E195" s="172"/>
      <c r="F195" s="174"/>
      <c r="G195" s="365"/>
      <c r="H195" s="175">
        <f>Home!F24</f>
        <v>0</v>
      </c>
      <c r="I195" s="176"/>
    </row>
    <row r="196" spans="2:9">
      <c r="D196" s="2"/>
      <c r="F196" s="6"/>
      <c r="H196" s="6"/>
    </row>
    <row r="197" spans="2:9" ht="16" thickBot="1">
      <c r="D197" s="2"/>
      <c r="F197" s="6"/>
      <c r="H197" s="6"/>
    </row>
    <row r="198" spans="2:9" ht="20">
      <c r="B198" s="159" t="s">
        <v>71</v>
      </c>
      <c r="C198" s="160" t="s">
        <v>37</v>
      </c>
      <c r="D198" s="160" t="s">
        <v>39</v>
      </c>
      <c r="E198" s="161" t="s">
        <v>41</v>
      </c>
      <c r="F198" s="160" t="s">
        <v>62</v>
      </c>
      <c r="G198" s="162"/>
      <c r="H198" s="162"/>
      <c r="I198" s="163"/>
    </row>
    <row r="199" spans="2:9" ht="20">
      <c r="B199" s="164">
        <f>Home!B15</f>
        <v>0</v>
      </c>
      <c r="C199" s="19">
        <f>Home!C15</f>
        <v>0</v>
      </c>
      <c r="D199" s="19">
        <f>Home!D15</f>
        <v>0</v>
      </c>
      <c r="E199" s="20">
        <f>Home!G15</f>
        <v>0</v>
      </c>
      <c r="F199" s="19" t="str">
        <f>Home!E25</f>
        <v>Select Market</v>
      </c>
      <c r="I199" s="165"/>
    </row>
    <row r="200" spans="2:9">
      <c r="B200" s="166"/>
      <c r="I200" s="165"/>
    </row>
    <row r="201" spans="2:9">
      <c r="B201" s="167" t="s">
        <v>65</v>
      </c>
      <c r="D201" s="2"/>
      <c r="F201" s="878" t="s">
        <v>77</v>
      </c>
      <c r="G201" s="878"/>
      <c r="H201" s="879" t="s">
        <v>78</v>
      </c>
      <c r="I201" s="880"/>
    </row>
    <row r="202" spans="2:9">
      <c r="B202" s="166" t="s">
        <v>0</v>
      </c>
      <c r="D202" s="2"/>
      <c r="F202" s="6">
        <f>'Shipment Cost Schedule'!$F$5</f>
        <v>3</v>
      </c>
      <c r="G202" s="2" t="s">
        <v>76</v>
      </c>
      <c r="H202" s="6">
        <f>'Shipment Cost Schedule'!$H$5</f>
        <v>2.976190476190476E-2</v>
      </c>
      <c r="I202" s="165" t="s">
        <v>17</v>
      </c>
    </row>
    <row r="203" spans="2:9">
      <c r="B203" s="166" t="s">
        <v>1</v>
      </c>
      <c r="D203" s="2"/>
      <c r="F203" s="6">
        <f>'Shipment Cost Schedule'!$F$6</f>
        <v>20</v>
      </c>
      <c r="G203" s="6" t="s">
        <v>19</v>
      </c>
      <c r="H203" s="6">
        <f>'Shipment Cost Schedule'!$H$6</f>
        <v>0.35714285714285715</v>
      </c>
      <c r="I203" s="165" t="s">
        <v>30</v>
      </c>
    </row>
    <row r="204" spans="2:9">
      <c r="B204" s="166" t="s">
        <v>209</v>
      </c>
      <c r="D204" s="2"/>
      <c r="F204" s="6">
        <f>'Shipment Cost Schedule'!$F$7</f>
        <v>30</v>
      </c>
      <c r="G204" s="6" t="s">
        <v>19</v>
      </c>
      <c r="H204" s="6">
        <f>'Shipment Cost Schedule'!$H$7</f>
        <v>0.5357142857142857</v>
      </c>
      <c r="I204" s="165"/>
    </row>
    <row r="205" spans="2:9">
      <c r="B205" s="166" t="s">
        <v>16</v>
      </c>
      <c r="D205" s="2"/>
      <c r="F205" s="6">
        <f>'Shipment Cost Schedule'!$F$8</f>
        <v>25</v>
      </c>
      <c r="G205" s="6" t="s">
        <v>21</v>
      </c>
      <c r="H205" s="6">
        <f>'Shipment Cost Schedule'!$H$8</f>
        <v>2.5000000000000001E-2</v>
      </c>
      <c r="I205" s="165"/>
    </row>
    <row r="206" spans="2:9">
      <c r="B206" s="166" t="s">
        <v>14</v>
      </c>
      <c r="D206" s="2"/>
      <c r="F206" s="6">
        <f>'Shipment Cost Schedule'!$F$9</f>
        <v>245</v>
      </c>
      <c r="G206" s="8" t="s">
        <v>18</v>
      </c>
      <c r="H206" s="6">
        <f>'Shipment Cost Schedule'!$H$9</f>
        <v>0.245</v>
      </c>
      <c r="I206" s="165" t="s">
        <v>25</v>
      </c>
    </row>
    <row r="207" spans="2:9">
      <c r="B207" s="166" t="s">
        <v>11</v>
      </c>
      <c r="D207" s="2"/>
      <c r="F207" s="6">
        <f>'Shipment Cost Schedule'!$F$10</f>
        <v>80</v>
      </c>
      <c r="G207" s="2" t="s">
        <v>18</v>
      </c>
      <c r="H207" s="6">
        <f>'Shipment Cost Schedule'!$H$10</f>
        <v>0.08</v>
      </c>
      <c r="I207" s="165" t="s">
        <v>25</v>
      </c>
    </row>
    <row r="208" spans="2:9">
      <c r="B208" s="166" t="s">
        <v>4</v>
      </c>
      <c r="D208" s="2"/>
      <c r="F208" s="6">
        <f>'Shipment Cost Schedule'!$F$11</f>
        <v>45</v>
      </c>
      <c r="G208" s="2" t="s">
        <v>18</v>
      </c>
      <c r="H208" s="6">
        <f>'Shipment Cost Schedule'!$H$11</f>
        <v>4.4999999999999998E-2</v>
      </c>
      <c r="I208" s="165" t="s">
        <v>25</v>
      </c>
    </row>
    <row r="209" spans="2:9">
      <c r="B209" s="166" t="s">
        <v>13</v>
      </c>
      <c r="D209" s="2"/>
      <c r="F209" s="6">
        <f>'Shipment Cost Schedule'!$F$12</f>
        <v>10</v>
      </c>
      <c r="G209" s="2" t="s">
        <v>18</v>
      </c>
      <c r="H209" s="6">
        <f>'Shipment Cost Schedule'!$H$12</f>
        <v>0.01</v>
      </c>
      <c r="I209" s="165" t="s">
        <v>25</v>
      </c>
    </row>
    <row r="210" spans="2:9">
      <c r="B210" s="166" t="s">
        <v>5</v>
      </c>
      <c r="D210" s="2"/>
      <c r="F210" s="6">
        <f>'Shipment Cost Schedule'!$F$13</f>
        <v>95</v>
      </c>
      <c r="G210" s="2" t="s">
        <v>22</v>
      </c>
      <c r="H210" s="6">
        <f>'Shipment Cost Schedule'!$H$13</f>
        <v>9.5000000000000001E-2</v>
      </c>
      <c r="I210" s="165" t="s">
        <v>25</v>
      </c>
    </row>
    <row r="211" spans="2:9">
      <c r="B211" s="166" t="s">
        <v>29</v>
      </c>
      <c r="D211" s="2"/>
      <c r="F211" s="6">
        <f>'Shipment Cost Schedule'!$F$14</f>
        <v>25</v>
      </c>
      <c r="G211" s="2" t="s">
        <v>18</v>
      </c>
      <c r="H211" s="6">
        <f>'Shipment Cost Schedule'!$H$14</f>
        <v>2.5000000000000001E-2</v>
      </c>
      <c r="I211" s="165" t="s">
        <v>25</v>
      </c>
    </row>
    <row r="212" spans="2:9">
      <c r="B212" s="166" t="s">
        <v>6</v>
      </c>
      <c r="D212" s="2"/>
      <c r="F212" s="6">
        <f>'Shipment Cost Schedule'!$F$15</f>
        <v>35</v>
      </c>
      <c r="G212" s="2" t="s">
        <v>23</v>
      </c>
      <c r="H212" s="6">
        <f>'Shipment Cost Schedule'!$H$15</f>
        <v>3.5000000000000003E-2</v>
      </c>
      <c r="I212" s="165" t="s">
        <v>24</v>
      </c>
    </row>
    <row r="213" spans="2:9">
      <c r="B213" s="166" t="s">
        <v>10</v>
      </c>
      <c r="D213" s="2"/>
      <c r="F213" s="6">
        <f>'Shipment Cost Schedule'!$F$16</f>
        <v>865</v>
      </c>
      <c r="G213" s="2" t="s">
        <v>18</v>
      </c>
      <c r="H213" s="6">
        <f>'Shipment Cost Schedule'!$H$16</f>
        <v>0.86499999999999999</v>
      </c>
      <c r="I213" s="165"/>
    </row>
    <row r="214" spans="2:9">
      <c r="B214" s="166" t="s">
        <v>580</v>
      </c>
      <c r="D214" s="2"/>
      <c r="F214" s="6">
        <f>'Shipment Cost Schedule'!$F$17</f>
        <v>715</v>
      </c>
      <c r="G214" s="2" t="s">
        <v>18</v>
      </c>
      <c r="H214" s="6">
        <f>'Shipment Cost Schedule'!$H$17</f>
        <v>0.71499999999999997</v>
      </c>
      <c r="I214" s="165"/>
    </row>
    <row r="215" spans="2:9">
      <c r="B215" s="166"/>
      <c r="D215" s="2"/>
      <c r="F215" s="6"/>
      <c r="H215" s="6"/>
      <c r="I215" s="165"/>
    </row>
    <row r="216" spans="2:9">
      <c r="B216" s="167" t="s">
        <v>7</v>
      </c>
      <c r="D216" s="2"/>
      <c r="F216" s="6"/>
      <c r="G216" s="4"/>
      <c r="H216" s="6"/>
      <c r="I216" s="165"/>
    </row>
    <row r="217" spans="2:9">
      <c r="B217" s="166" t="s">
        <v>8</v>
      </c>
      <c r="D217" s="2"/>
      <c r="F217" s="6">
        <f>'Shipment Cost Schedule'!$F$20</f>
        <v>40</v>
      </c>
      <c r="G217" s="4" t="s">
        <v>27</v>
      </c>
      <c r="H217" s="6">
        <f>'Shipment Cost Schedule'!$H$20</f>
        <v>0.04</v>
      </c>
      <c r="I217" s="165"/>
    </row>
    <row r="218" spans="2:9">
      <c r="B218" s="166" t="s">
        <v>9</v>
      </c>
      <c r="D218" s="2"/>
      <c r="F218" s="6">
        <f>'Shipment Cost Schedule'!$F$21</f>
        <v>15</v>
      </c>
      <c r="G218" s="4" t="s">
        <v>26</v>
      </c>
      <c r="H218" s="6">
        <f>'Shipment Cost Schedule'!$H$21</f>
        <v>1.3392857142857142</v>
      </c>
      <c r="I218" s="165" t="s">
        <v>67</v>
      </c>
    </row>
    <row r="219" spans="2:9">
      <c r="B219" s="166" t="s">
        <v>12</v>
      </c>
      <c r="D219" s="2"/>
      <c r="F219" s="6">
        <f>'Shipment Cost Schedule'!$F$22</f>
        <v>35</v>
      </c>
      <c r="G219" s="4" t="s">
        <v>28</v>
      </c>
      <c r="H219" s="6">
        <f>'Shipment Cost Schedule'!$H$22</f>
        <v>3.5000000000000003E-2</v>
      </c>
      <c r="I219" s="165"/>
    </row>
    <row r="220" spans="2:9">
      <c r="B220" s="166"/>
      <c r="D220" s="2"/>
      <c r="F220" s="6"/>
      <c r="H220" s="6"/>
      <c r="I220" s="165"/>
    </row>
    <row r="221" spans="2:9">
      <c r="B221" s="167" t="s">
        <v>66</v>
      </c>
      <c r="D221" s="2"/>
      <c r="F221" s="6"/>
      <c r="H221" s="6"/>
      <c r="I221" s="165"/>
    </row>
    <row r="222" spans="2:9">
      <c r="B222" s="168" t="s">
        <v>34</v>
      </c>
      <c r="D222" s="2"/>
      <c r="F222" s="6"/>
      <c r="H222" s="6"/>
      <c r="I222" s="165"/>
    </row>
    <row r="223" spans="2:9">
      <c r="B223" s="166" t="s">
        <v>2</v>
      </c>
      <c r="D223" s="2"/>
      <c r="F223" s="6">
        <f>'Shipment Cost Schedule'!$F$26</f>
        <v>25</v>
      </c>
      <c r="G223" s="2" t="s">
        <v>18</v>
      </c>
      <c r="H223" s="6">
        <f>IF(F199="China",'Shipment Cost Schedule'!$H$26,0)</f>
        <v>0</v>
      </c>
      <c r="I223" s="165"/>
    </row>
    <row r="224" spans="2:9">
      <c r="B224" s="166" t="s">
        <v>3</v>
      </c>
      <c r="D224" s="2"/>
      <c r="F224" s="6">
        <f>'Shipment Cost Schedule'!$F$27</f>
        <v>25</v>
      </c>
      <c r="G224" s="2" t="s">
        <v>18</v>
      </c>
      <c r="H224" s="6">
        <f>IF(F199="China",'Shipment Cost Schedule'!$H$27,0)</f>
        <v>0</v>
      </c>
      <c r="I224" s="165"/>
    </row>
    <row r="225" spans="2:9">
      <c r="B225" s="166" t="s">
        <v>35</v>
      </c>
      <c r="D225" s="2"/>
      <c r="F225" s="6">
        <f>'Shipment Cost Schedule'!$F$28</f>
        <v>0</v>
      </c>
      <c r="G225" s="2" t="s">
        <v>18</v>
      </c>
      <c r="H225" s="6">
        <f>IF(F199="China",'Shipment Cost Schedule'!H212,0)</f>
        <v>0</v>
      </c>
      <c r="I225" s="165"/>
    </row>
    <row r="226" spans="2:9">
      <c r="B226" s="166" t="s">
        <v>68</v>
      </c>
      <c r="D226" s="2"/>
      <c r="F226" s="6">
        <f>'Shipment Cost Schedule'!$F$29</f>
        <v>34.65</v>
      </c>
      <c r="G226" s="2" t="s">
        <v>20</v>
      </c>
      <c r="H226" s="6">
        <f>IF(F199="China",'Shipment Cost Schedule'!$H$29,0)</f>
        <v>0</v>
      </c>
      <c r="I226" s="165"/>
    </row>
    <row r="227" spans="2:9">
      <c r="B227" s="166" t="s">
        <v>577</v>
      </c>
      <c r="D227" s="2"/>
      <c r="F227" s="6">
        <f>'Shipment Cost Schedule'!$F$30</f>
        <v>30</v>
      </c>
      <c r="G227" s="2" t="s">
        <v>18</v>
      </c>
      <c r="H227" s="6">
        <f>IF(F199="China",'Shipment Cost Schedule'!$H$30,0)</f>
        <v>0</v>
      </c>
      <c r="I227" s="165"/>
    </row>
    <row r="228" spans="2:9">
      <c r="B228" s="166" t="s">
        <v>578</v>
      </c>
      <c r="D228" s="2"/>
      <c r="F228" s="6">
        <f>'Shipment Cost Schedule'!$F$31</f>
        <v>45</v>
      </c>
      <c r="G228" s="2" t="s">
        <v>579</v>
      </c>
      <c r="H228" s="6">
        <f>IF(F199="China",'Shipment Cost Schedule'!$H$31,0)</f>
        <v>0</v>
      </c>
      <c r="I228" s="165"/>
    </row>
    <row r="229" spans="2:9">
      <c r="B229" s="166"/>
      <c r="D229" s="2"/>
      <c r="F229" s="6"/>
      <c r="H229" s="6"/>
      <c r="I229" s="165"/>
    </row>
    <row r="230" spans="2:9">
      <c r="B230" s="168" t="s">
        <v>36</v>
      </c>
      <c r="D230" s="2"/>
      <c r="F230" s="6"/>
      <c r="H230" s="6"/>
      <c r="I230" s="165"/>
    </row>
    <row r="231" spans="2:9">
      <c r="B231" s="166" t="s">
        <v>38</v>
      </c>
      <c r="D231" s="2"/>
      <c r="F231" s="6">
        <f>'Shipment Cost Schedule'!$F$33</f>
        <v>47.25</v>
      </c>
      <c r="G231" s="2" t="s">
        <v>18</v>
      </c>
      <c r="H231" s="6">
        <f>_xlfn.IFS(F199="Select Market",0,F199="USA",0,F199="UK",'Shipment Cost Schedule'!$H$33,F199="Belgium",'Shipment Cost Schedule'!$H$33,F199="Brazil",0,F199="Canada",0,F199="China",0,F199="Denmark",'Shipment Cost Schedule'!$H$33,F199="Germany",'Shipment Cost Schedule'!$H$33,F199="Japan",0,F199="Netherlands",'Shipment Cost Schedule'!$H$33,F199="Poland",'Shipment Cost Schedule'!$H$33,F199="Singapore",0,F199="South Korea",0,F199="Sweden",'Shipment Cost Schedule'!$H$33,F199="Thailand",0,F199="Other",0)</f>
        <v>0</v>
      </c>
      <c r="I231" s="165"/>
    </row>
    <row r="232" spans="2:9">
      <c r="B232" s="166"/>
      <c r="D232" s="2"/>
      <c r="F232" s="6"/>
      <c r="H232" s="6"/>
      <c r="I232" s="165"/>
    </row>
    <row r="233" spans="2:9">
      <c r="B233" s="168" t="s">
        <v>55</v>
      </c>
      <c r="D233" s="2"/>
      <c r="F233" s="6"/>
      <c r="H233" s="6"/>
      <c r="I233" s="165"/>
    </row>
    <row r="234" spans="2:9">
      <c r="B234" s="169" t="s">
        <v>63</v>
      </c>
      <c r="D234" s="2"/>
      <c r="F234" s="6">
        <f>'Shipment Cost Schedule'!$F$35</f>
        <v>94.5</v>
      </c>
      <c r="G234" s="2" t="s">
        <v>18</v>
      </c>
      <c r="H234" s="6">
        <f>IF(F199="Japan",'Shipment Cost Schedule'!$H$35,0)</f>
        <v>0</v>
      </c>
      <c r="I234" s="165"/>
    </row>
    <row r="235" spans="2:9">
      <c r="B235" s="169" t="s">
        <v>578</v>
      </c>
      <c r="D235" s="2"/>
      <c r="F235" s="6">
        <f>'Shipment Cost Schedule'!$F$36</f>
        <v>45</v>
      </c>
      <c r="G235" s="2" t="s">
        <v>579</v>
      </c>
      <c r="H235" s="6">
        <f>IF(F199="Japan",'Shipment Cost Schedule'!$H$36,0)</f>
        <v>0</v>
      </c>
      <c r="I235" s="165"/>
    </row>
    <row r="236" spans="2:9">
      <c r="B236" s="169"/>
      <c r="D236" s="2"/>
      <c r="F236" s="6"/>
      <c r="H236" s="6"/>
      <c r="I236" s="165"/>
    </row>
    <row r="237" spans="2:9">
      <c r="B237" s="168" t="s">
        <v>51</v>
      </c>
      <c r="D237" s="2"/>
      <c r="F237" s="6"/>
      <c r="H237" s="6"/>
      <c r="I237" s="165"/>
    </row>
    <row r="238" spans="2:9">
      <c r="B238" s="169" t="s">
        <v>64</v>
      </c>
      <c r="D238" s="2"/>
      <c r="F238" s="6">
        <f>'Shipment Cost Schedule'!$F$38</f>
        <v>210</v>
      </c>
      <c r="G238" s="2" t="s">
        <v>18</v>
      </c>
      <c r="H238" s="6">
        <f>IF(F199="Brazil",'Shipment Cost Schedule'!$H$38,0)</f>
        <v>0</v>
      </c>
      <c r="I238" s="165"/>
    </row>
    <row r="239" spans="2:9">
      <c r="B239" s="166"/>
      <c r="E239" s="4"/>
      <c r="F239" s="6"/>
      <c r="H239" s="6"/>
      <c r="I239" s="165"/>
    </row>
    <row r="240" spans="2:9" ht="20">
      <c r="B240" s="170" t="s">
        <v>80</v>
      </c>
      <c r="C240" s="21"/>
      <c r="D240" s="22"/>
      <c r="E240" s="21"/>
      <c r="H240" s="23">
        <f>Home!F25-Home!N15</f>
        <v>0</v>
      </c>
      <c r="I240" s="165"/>
    </row>
    <row r="241" spans="2:9" ht="20.5" thickBot="1">
      <c r="B241" s="171" t="s">
        <v>79</v>
      </c>
      <c r="C241" s="172"/>
      <c r="D241" s="173"/>
      <c r="E241" s="172"/>
      <c r="F241" s="174"/>
      <c r="G241" s="365"/>
      <c r="H241" s="175">
        <f>Home!F25</f>
        <v>0</v>
      </c>
      <c r="I241" s="176"/>
    </row>
    <row r="242" spans="2:9">
      <c r="E242" s="4"/>
      <c r="F242" s="6"/>
      <c r="H242" s="6"/>
    </row>
    <row r="243" spans="2:9">
      <c r="E243" s="4"/>
      <c r="F243" s="6"/>
      <c r="H243" s="6"/>
    </row>
    <row r="244" spans="2:9">
      <c r="E244" s="4"/>
      <c r="F244" s="6"/>
      <c r="H244" s="6"/>
    </row>
    <row r="245" spans="2:9">
      <c r="E245" s="4"/>
      <c r="F245" s="6"/>
      <c r="H245" s="6"/>
    </row>
    <row r="246" spans="2:9">
      <c r="E246" s="4"/>
      <c r="F246" s="6"/>
      <c r="H246" s="6"/>
    </row>
    <row r="247" spans="2:9">
      <c r="E247" s="4"/>
      <c r="F247" s="6"/>
      <c r="H247" s="6"/>
    </row>
    <row r="248" spans="2:9">
      <c r="E248" s="4"/>
      <c r="F248" s="6"/>
      <c r="H248" s="6"/>
    </row>
    <row r="249" spans="2:9">
      <c r="E249" s="4"/>
      <c r="F249" s="6"/>
      <c r="H249" s="6"/>
    </row>
    <row r="250" spans="2:9">
      <c r="F250" s="6"/>
      <c r="H250" s="6"/>
    </row>
    <row r="251" spans="2:9">
      <c r="D251" s="2"/>
      <c r="F251" s="6"/>
      <c r="H251" s="6"/>
    </row>
    <row r="252" spans="2:9">
      <c r="D252" s="2"/>
      <c r="F252" s="6"/>
      <c r="H252" s="6"/>
    </row>
    <row r="253" spans="2:9">
      <c r="D253" s="2"/>
      <c r="H253" s="6"/>
    </row>
    <row r="255" spans="2:9">
      <c r="B255" s="11"/>
      <c r="C255" s="11"/>
      <c r="D255" s="12"/>
      <c r="E255" s="11"/>
    </row>
    <row r="256" spans="2:9">
      <c r="B256" s="11"/>
      <c r="C256" s="11"/>
      <c r="D256" s="12"/>
      <c r="E256" s="11"/>
    </row>
    <row r="262" spans="4:8">
      <c r="D262" s="2"/>
      <c r="H262" s="6"/>
    </row>
    <row r="263" spans="4:8">
      <c r="D263" s="2"/>
    </row>
    <row r="264" spans="4:8">
      <c r="D264" s="2"/>
      <c r="H264" s="7"/>
    </row>
    <row r="265" spans="4:8">
      <c r="D265" s="2"/>
    </row>
    <row r="266" spans="4:8">
      <c r="D266" s="2"/>
    </row>
    <row r="267" spans="4:8">
      <c r="D267" s="2"/>
      <c r="F267" s="6"/>
      <c r="H267" s="6"/>
    </row>
    <row r="268" spans="4:8">
      <c r="D268" s="2"/>
      <c r="F268" s="6"/>
      <c r="H268" s="6"/>
    </row>
    <row r="269" spans="4:8">
      <c r="D269" s="2"/>
      <c r="F269" s="6"/>
      <c r="G269" s="6"/>
      <c r="H269" s="6"/>
    </row>
    <row r="270" spans="4:8">
      <c r="D270" s="2"/>
      <c r="F270" s="6"/>
      <c r="G270" s="6"/>
      <c r="H270" s="6"/>
    </row>
    <row r="271" spans="4:8">
      <c r="D271" s="2"/>
      <c r="F271" s="6"/>
      <c r="G271" s="6"/>
      <c r="H271" s="6"/>
    </row>
    <row r="272" spans="4:8">
      <c r="D272" s="2"/>
      <c r="F272" s="6"/>
      <c r="G272" s="8"/>
      <c r="H272" s="6"/>
    </row>
    <row r="273" spans="2:8">
      <c r="D273" s="2"/>
      <c r="F273" s="6"/>
      <c r="H273" s="6"/>
    </row>
    <row r="274" spans="2:8">
      <c r="D274" s="2"/>
      <c r="F274" s="6"/>
      <c r="H274" s="6"/>
    </row>
    <row r="275" spans="2:8">
      <c r="D275" s="2"/>
      <c r="F275" s="6"/>
      <c r="H275" s="6"/>
    </row>
    <row r="276" spans="2:8">
      <c r="D276" s="2"/>
      <c r="F276" s="6"/>
      <c r="H276" s="6"/>
    </row>
    <row r="277" spans="2:8">
      <c r="D277" s="2"/>
      <c r="F277" s="6"/>
      <c r="H277" s="6"/>
    </row>
    <row r="278" spans="2:8">
      <c r="D278" s="2"/>
      <c r="F278" s="6"/>
      <c r="H278" s="6"/>
    </row>
    <row r="279" spans="2:8">
      <c r="D279" s="2"/>
      <c r="F279" s="6"/>
      <c r="H279" s="6"/>
    </row>
    <row r="280" spans="2:8">
      <c r="D280" s="2"/>
      <c r="F280" s="6"/>
      <c r="H280" s="6"/>
    </row>
    <row r="281" spans="2:8">
      <c r="B281" s="9"/>
      <c r="D281" s="2"/>
      <c r="F281" s="6"/>
      <c r="G281" s="4"/>
      <c r="H281" s="6"/>
    </row>
    <row r="282" spans="2:8">
      <c r="B282" s="9"/>
      <c r="E282" s="10"/>
      <c r="F282" s="6"/>
      <c r="G282" s="4"/>
      <c r="H282" s="6"/>
    </row>
    <row r="283" spans="2:8">
      <c r="B283" s="9"/>
      <c r="E283" s="10"/>
      <c r="F283" s="6"/>
      <c r="G283" s="4"/>
      <c r="H283" s="6"/>
    </row>
    <row r="284" spans="2:8">
      <c r="E284" s="10"/>
      <c r="F284" s="6"/>
      <c r="G284" s="4"/>
      <c r="H284" s="6"/>
    </row>
    <row r="285" spans="2:8">
      <c r="F285" s="6"/>
      <c r="H285" s="6"/>
    </row>
    <row r="287" spans="2:8">
      <c r="F287" s="6"/>
      <c r="H287" s="6"/>
    </row>
    <row r="288" spans="2:8">
      <c r="E288" s="10"/>
      <c r="F288" s="6"/>
      <c r="H288" s="6"/>
    </row>
    <row r="289" spans="4:8">
      <c r="E289" s="4"/>
      <c r="F289" s="6"/>
      <c r="H289" s="6"/>
    </row>
    <row r="290" spans="4:8">
      <c r="E290" s="4"/>
      <c r="F290" s="6"/>
      <c r="H290" s="6"/>
    </row>
    <row r="291" spans="4:8">
      <c r="E291" s="4"/>
      <c r="F291" s="6"/>
      <c r="H291" s="6"/>
    </row>
    <row r="292" spans="4:8">
      <c r="E292" s="4"/>
      <c r="F292" s="6"/>
      <c r="H292" s="6"/>
    </row>
    <row r="293" spans="4:8">
      <c r="E293" s="4"/>
      <c r="F293" s="6"/>
      <c r="H293" s="6"/>
    </row>
    <row r="294" spans="4:8">
      <c r="E294" s="4"/>
      <c r="F294" s="6"/>
      <c r="H294" s="6"/>
    </row>
    <row r="295" spans="4:8">
      <c r="E295" s="4"/>
      <c r="F295" s="6"/>
      <c r="H295" s="6"/>
    </row>
    <row r="296" spans="4:8">
      <c r="E296" s="4"/>
      <c r="F296" s="6"/>
      <c r="H296" s="6"/>
    </row>
    <row r="297" spans="4:8">
      <c r="E297" s="4"/>
      <c r="F297" s="6"/>
      <c r="H297" s="6"/>
    </row>
    <row r="298" spans="4:8">
      <c r="E298" s="4"/>
      <c r="F298" s="6"/>
      <c r="H298" s="6"/>
    </row>
    <row r="299" spans="4:8">
      <c r="E299" s="4"/>
      <c r="F299" s="6"/>
      <c r="H299" s="6"/>
    </row>
    <row r="300" spans="4:8">
      <c r="E300" s="4"/>
      <c r="F300" s="6"/>
      <c r="H300" s="6"/>
    </row>
    <row r="301" spans="4:8">
      <c r="E301" s="4"/>
      <c r="F301" s="6"/>
      <c r="H301" s="6"/>
    </row>
    <row r="302" spans="4:8">
      <c r="F302" s="6"/>
      <c r="H302" s="6"/>
    </row>
    <row r="303" spans="4:8">
      <c r="D303" s="2"/>
      <c r="F303" s="6"/>
      <c r="H303" s="6"/>
    </row>
    <row r="304" spans="4:8">
      <c r="D304" s="2"/>
      <c r="F304" s="6"/>
      <c r="H304" s="6"/>
    </row>
    <row r="305" spans="2:8">
      <c r="D305" s="2"/>
      <c r="H305" s="6"/>
    </row>
    <row r="307" spans="2:8">
      <c r="B307" s="11"/>
      <c r="C307" s="11"/>
      <c r="D307" s="12"/>
      <c r="E307" s="11"/>
    </row>
    <row r="308" spans="2:8">
      <c r="B308" s="11"/>
      <c r="C308" s="11"/>
      <c r="D308" s="12"/>
      <c r="E308" s="11"/>
    </row>
    <row r="314" spans="2:8">
      <c r="D314" s="2"/>
      <c r="H314" s="6"/>
    </row>
    <row r="315" spans="2:8">
      <c r="D315" s="2"/>
    </row>
    <row r="316" spans="2:8">
      <c r="D316" s="2"/>
      <c r="H316" s="7"/>
    </row>
    <row r="317" spans="2:8">
      <c r="D317" s="2"/>
    </row>
    <row r="318" spans="2:8">
      <c r="D318" s="2"/>
    </row>
    <row r="319" spans="2:8">
      <c r="D319" s="2"/>
      <c r="F319" s="6"/>
      <c r="H319" s="6"/>
    </row>
    <row r="320" spans="2:8">
      <c r="D320" s="2"/>
      <c r="F320" s="6"/>
      <c r="H320" s="6"/>
    </row>
    <row r="321" spans="2:8">
      <c r="D321" s="2"/>
      <c r="F321" s="6"/>
      <c r="G321" s="6"/>
      <c r="H321" s="6"/>
    </row>
    <row r="322" spans="2:8">
      <c r="D322" s="2"/>
      <c r="F322" s="6"/>
      <c r="G322" s="6"/>
      <c r="H322" s="6"/>
    </row>
    <row r="323" spans="2:8">
      <c r="D323" s="2"/>
      <c r="F323" s="6"/>
      <c r="G323" s="6"/>
      <c r="H323" s="6"/>
    </row>
    <row r="324" spans="2:8">
      <c r="D324" s="2"/>
      <c r="F324" s="6"/>
      <c r="G324" s="8"/>
      <c r="H324" s="6"/>
    </row>
    <row r="325" spans="2:8">
      <c r="D325" s="2"/>
      <c r="F325" s="6"/>
      <c r="H325" s="6"/>
    </row>
    <row r="326" spans="2:8">
      <c r="D326" s="2"/>
      <c r="F326" s="6"/>
      <c r="H326" s="6"/>
    </row>
    <row r="327" spans="2:8">
      <c r="D327" s="2"/>
      <c r="F327" s="6"/>
      <c r="H327" s="6"/>
    </row>
    <row r="328" spans="2:8">
      <c r="D328" s="2"/>
      <c r="F328" s="6"/>
      <c r="H328" s="6"/>
    </row>
    <row r="329" spans="2:8">
      <c r="D329" s="2"/>
      <c r="F329" s="6"/>
      <c r="H329" s="6"/>
    </row>
    <row r="330" spans="2:8">
      <c r="D330" s="2"/>
      <c r="F330" s="6"/>
      <c r="H330" s="6"/>
    </row>
    <row r="331" spans="2:8">
      <c r="D331" s="2"/>
      <c r="F331" s="6"/>
      <c r="H331" s="6"/>
    </row>
    <row r="332" spans="2:8">
      <c r="D332" s="2"/>
      <c r="F332" s="6"/>
      <c r="H332" s="6"/>
    </row>
    <row r="333" spans="2:8">
      <c r="B333" s="9"/>
      <c r="D333" s="2"/>
      <c r="F333" s="6"/>
      <c r="G333" s="4"/>
      <c r="H333" s="6"/>
    </row>
    <row r="334" spans="2:8">
      <c r="B334" s="9"/>
      <c r="E334" s="10"/>
      <c r="F334" s="6"/>
      <c r="G334" s="4"/>
      <c r="H334" s="6"/>
    </row>
    <row r="335" spans="2:8">
      <c r="B335" s="9"/>
      <c r="E335" s="10"/>
      <c r="F335" s="6"/>
      <c r="G335" s="4"/>
      <c r="H335" s="6"/>
    </row>
    <row r="336" spans="2:8">
      <c r="E336" s="10"/>
      <c r="F336" s="6"/>
      <c r="G336" s="4"/>
      <c r="H336" s="6"/>
    </row>
    <row r="337" spans="5:8">
      <c r="F337" s="6"/>
      <c r="H337" s="6"/>
    </row>
    <row r="339" spans="5:8">
      <c r="F339" s="6"/>
      <c r="H339" s="6"/>
    </row>
    <row r="340" spans="5:8">
      <c r="E340" s="10"/>
      <c r="F340" s="6"/>
      <c r="H340" s="6"/>
    </row>
    <row r="341" spans="5:8">
      <c r="E341" s="4"/>
      <c r="F341" s="6"/>
      <c r="H341" s="6"/>
    </row>
    <row r="342" spans="5:8">
      <c r="E342" s="4"/>
      <c r="F342" s="6"/>
      <c r="H342" s="6"/>
    </row>
    <row r="343" spans="5:8">
      <c r="E343" s="4"/>
      <c r="F343" s="6"/>
      <c r="H343" s="6"/>
    </row>
    <row r="344" spans="5:8">
      <c r="E344" s="4"/>
      <c r="F344" s="6"/>
      <c r="H344" s="6"/>
    </row>
    <row r="345" spans="5:8">
      <c r="E345" s="4"/>
      <c r="F345" s="6"/>
      <c r="H345" s="6"/>
    </row>
    <row r="346" spans="5:8">
      <c r="E346" s="4"/>
      <c r="F346" s="6"/>
      <c r="H346" s="6"/>
    </row>
    <row r="347" spans="5:8">
      <c r="E347" s="4"/>
      <c r="F347" s="6"/>
      <c r="H347" s="6"/>
    </row>
    <row r="348" spans="5:8">
      <c r="E348" s="4"/>
      <c r="F348" s="6"/>
      <c r="H348" s="6"/>
    </row>
    <row r="349" spans="5:8">
      <c r="E349" s="4"/>
      <c r="F349" s="6"/>
      <c r="H349" s="6"/>
    </row>
    <row r="350" spans="5:8">
      <c r="E350" s="4"/>
      <c r="F350" s="6"/>
      <c r="H350" s="6"/>
    </row>
    <row r="351" spans="5:8">
      <c r="E351" s="4"/>
      <c r="F351" s="6"/>
      <c r="H351" s="6"/>
    </row>
    <row r="352" spans="5:8">
      <c r="E352" s="4"/>
      <c r="F352" s="6"/>
      <c r="H352" s="6"/>
    </row>
    <row r="353" spans="2:8">
      <c r="E353" s="4"/>
      <c r="F353" s="6"/>
      <c r="H353" s="6"/>
    </row>
    <row r="354" spans="2:8">
      <c r="F354" s="6"/>
      <c r="H354" s="6"/>
    </row>
    <row r="355" spans="2:8">
      <c r="D355" s="2"/>
      <c r="F355" s="6"/>
      <c r="H355" s="6"/>
    </row>
    <row r="356" spans="2:8">
      <c r="D356" s="2"/>
      <c r="F356" s="6"/>
      <c r="H356" s="6"/>
    </row>
    <row r="357" spans="2:8">
      <c r="D357" s="2"/>
      <c r="H357" s="6"/>
    </row>
    <row r="361" spans="2:8">
      <c r="B361" s="11"/>
      <c r="C361" s="11"/>
      <c r="D361" s="12"/>
      <c r="E361" s="11"/>
    </row>
    <row r="362" spans="2:8">
      <c r="B362" s="11"/>
      <c r="C362" s="11"/>
      <c r="D362" s="12"/>
      <c r="E362" s="11"/>
    </row>
    <row r="368" spans="2:8">
      <c r="D368" s="2"/>
      <c r="H368" s="6"/>
    </row>
    <row r="369" spans="4:8">
      <c r="D369" s="2"/>
    </row>
    <row r="370" spans="4:8">
      <c r="D370" s="2"/>
      <c r="H370" s="7"/>
    </row>
    <row r="371" spans="4:8">
      <c r="D371" s="2"/>
    </row>
    <row r="372" spans="4:8">
      <c r="D372" s="2"/>
    </row>
    <row r="373" spans="4:8">
      <c r="D373" s="2"/>
      <c r="F373" s="6"/>
      <c r="H373" s="6"/>
    </row>
    <row r="374" spans="4:8">
      <c r="D374" s="2"/>
      <c r="F374" s="6"/>
      <c r="H374" s="6"/>
    </row>
    <row r="375" spans="4:8">
      <c r="D375" s="2"/>
      <c r="F375" s="6"/>
      <c r="G375" s="6"/>
      <c r="H375" s="6"/>
    </row>
    <row r="376" spans="4:8">
      <c r="D376" s="2"/>
      <c r="F376" s="6"/>
      <c r="G376" s="6"/>
      <c r="H376" s="6"/>
    </row>
    <row r="377" spans="4:8">
      <c r="D377" s="2"/>
      <c r="F377" s="6"/>
      <c r="G377" s="6"/>
      <c r="H377" s="6"/>
    </row>
    <row r="378" spans="4:8">
      <c r="D378" s="2"/>
      <c r="F378" s="6"/>
      <c r="G378" s="8"/>
      <c r="H378" s="6"/>
    </row>
    <row r="379" spans="4:8">
      <c r="D379" s="2"/>
      <c r="F379" s="6"/>
      <c r="H379" s="6"/>
    </row>
    <row r="380" spans="4:8">
      <c r="D380" s="2"/>
      <c r="F380" s="6"/>
      <c r="H380" s="6"/>
    </row>
    <row r="381" spans="4:8">
      <c r="D381" s="2"/>
      <c r="F381" s="6"/>
      <c r="H381" s="6"/>
    </row>
    <row r="382" spans="4:8">
      <c r="D382" s="2"/>
      <c r="F382" s="6"/>
      <c r="H382" s="6"/>
    </row>
    <row r="383" spans="4:8">
      <c r="D383" s="2"/>
      <c r="F383" s="6"/>
      <c r="H383" s="6"/>
    </row>
    <row r="384" spans="4:8">
      <c r="D384" s="2"/>
      <c r="F384" s="6"/>
      <c r="H384" s="6"/>
    </row>
    <row r="385" spans="2:8">
      <c r="D385" s="2"/>
      <c r="F385" s="6"/>
      <c r="H385" s="6"/>
    </row>
    <row r="386" spans="2:8">
      <c r="D386" s="2"/>
      <c r="F386" s="6"/>
      <c r="H386" s="6"/>
    </row>
    <row r="387" spans="2:8">
      <c r="B387" s="9"/>
      <c r="D387" s="2"/>
      <c r="F387" s="6"/>
      <c r="G387" s="4"/>
      <c r="H387" s="6"/>
    </row>
    <row r="388" spans="2:8">
      <c r="B388" s="9"/>
      <c r="E388" s="10"/>
      <c r="F388" s="6"/>
      <c r="G388" s="4"/>
      <c r="H388" s="6"/>
    </row>
    <row r="389" spans="2:8">
      <c r="B389" s="9"/>
      <c r="E389" s="10"/>
      <c r="F389" s="6"/>
      <c r="G389" s="4"/>
      <c r="H389" s="6"/>
    </row>
    <row r="390" spans="2:8">
      <c r="E390" s="10"/>
      <c r="F390" s="6"/>
      <c r="G390" s="4"/>
      <c r="H390" s="6"/>
    </row>
    <row r="391" spans="2:8">
      <c r="F391" s="6"/>
      <c r="H391" s="6"/>
    </row>
    <row r="393" spans="2:8">
      <c r="F393" s="6"/>
      <c r="H393" s="6"/>
    </row>
    <row r="394" spans="2:8">
      <c r="E394" s="10"/>
      <c r="F394" s="6"/>
      <c r="H394" s="6"/>
    </row>
    <row r="395" spans="2:8">
      <c r="E395" s="4"/>
      <c r="F395" s="6"/>
      <c r="H395" s="6"/>
    </row>
    <row r="396" spans="2:8">
      <c r="E396" s="4"/>
      <c r="F396" s="6"/>
      <c r="H396" s="6"/>
    </row>
    <row r="397" spans="2:8">
      <c r="E397" s="4"/>
      <c r="F397" s="6"/>
      <c r="H397" s="6"/>
    </row>
    <row r="398" spans="2:8">
      <c r="E398" s="4"/>
      <c r="F398" s="6"/>
      <c r="H398" s="6"/>
    </row>
    <row r="399" spans="2:8">
      <c r="E399" s="4"/>
      <c r="F399" s="6"/>
      <c r="H399" s="6"/>
    </row>
    <row r="400" spans="2:8">
      <c r="E400" s="4"/>
      <c r="F400" s="6"/>
      <c r="H400" s="6"/>
    </row>
    <row r="401" spans="2:8">
      <c r="E401" s="4"/>
      <c r="F401" s="6"/>
      <c r="H401" s="6"/>
    </row>
    <row r="402" spans="2:8">
      <c r="E402" s="4"/>
      <c r="F402" s="6"/>
      <c r="H402" s="6"/>
    </row>
    <row r="403" spans="2:8">
      <c r="E403" s="4"/>
      <c r="F403" s="6"/>
      <c r="H403" s="6"/>
    </row>
    <row r="404" spans="2:8">
      <c r="E404" s="4"/>
      <c r="F404" s="6"/>
      <c r="H404" s="6"/>
    </row>
    <row r="405" spans="2:8">
      <c r="E405" s="4"/>
      <c r="F405" s="6"/>
      <c r="H405" s="6"/>
    </row>
    <row r="406" spans="2:8">
      <c r="E406" s="4"/>
      <c r="F406" s="6"/>
      <c r="H406" s="6"/>
    </row>
    <row r="407" spans="2:8">
      <c r="E407" s="4"/>
      <c r="F407" s="6"/>
      <c r="H407" s="6"/>
    </row>
    <row r="408" spans="2:8">
      <c r="F408" s="6"/>
      <c r="H408" s="6"/>
    </row>
    <row r="409" spans="2:8">
      <c r="D409" s="2"/>
      <c r="F409" s="6"/>
      <c r="H409" s="6"/>
    </row>
    <row r="410" spans="2:8">
      <c r="D410" s="2"/>
      <c r="F410" s="6"/>
      <c r="H410" s="6"/>
    </row>
    <row r="411" spans="2:8">
      <c r="D411" s="2"/>
      <c r="H411" s="6"/>
    </row>
    <row r="413" spans="2:8">
      <c r="B413" s="11"/>
      <c r="C413" s="11"/>
      <c r="D413" s="12"/>
      <c r="E413" s="11"/>
    </row>
    <row r="414" spans="2:8">
      <c r="B414" s="11"/>
      <c r="C414" s="11"/>
      <c r="D414" s="12"/>
      <c r="E414" s="11"/>
    </row>
    <row r="420" spans="4:8">
      <c r="D420" s="2"/>
      <c r="H420" s="6"/>
    </row>
    <row r="421" spans="4:8">
      <c r="D421" s="2"/>
    </row>
    <row r="422" spans="4:8">
      <c r="D422" s="2"/>
      <c r="H422" s="7"/>
    </row>
    <row r="423" spans="4:8">
      <c r="D423" s="2"/>
    </row>
    <row r="424" spans="4:8">
      <c r="D424" s="2"/>
    </row>
    <row r="425" spans="4:8">
      <c r="D425" s="2"/>
      <c r="F425" s="6"/>
      <c r="H425" s="6"/>
    </row>
    <row r="426" spans="4:8">
      <c r="D426" s="2"/>
      <c r="F426" s="6"/>
      <c r="H426" s="6"/>
    </row>
    <row r="427" spans="4:8">
      <c r="D427" s="2"/>
      <c r="F427" s="6"/>
      <c r="G427" s="6"/>
      <c r="H427" s="6"/>
    </row>
    <row r="428" spans="4:8">
      <c r="D428" s="2"/>
      <c r="F428" s="6"/>
      <c r="G428" s="6"/>
      <c r="H428" s="6"/>
    </row>
    <row r="429" spans="4:8">
      <c r="D429" s="2"/>
      <c r="F429" s="6"/>
      <c r="G429" s="6"/>
      <c r="H429" s="6"/>
    </row>
    <row r="430" spans="4:8">
      <c r="D430" s="2"/>
      <c r="F430" s="6"/>
      <c r="G430" s="8"/>
      <c r="H430" s="6"/>
    </row>
    <row r="431" spans="4:8">
      <c r="D431" s="2"/>
      <c r="F431" s="6"/>
      <c r="H431" s="6"/>
    </row>
    <row r="432" spans="4:8">
      <c r="D432" s="2"/>
      <c r="F432" s="6"/>
      <c r="H432" s="6"/>
    </row>
    <row r="433" spans="2:8">
      <c r="D433" s="2"/>
      <c r="F433" s="6"/>
      <c r="H433" s="6"/>
    </row>
    <row r="434" spans="2:8">
      <c r="D434" s="2"/>
      <c r="F434" s="6"/>
      <c r="H434" s="6"/>
    </row>
    <row r="435" spans="2:8">
      <c r="D435" s="2"/>
      <c r="F435" s="6"/>
      <c r="H435" s="6"/>
    </row>
    <row r="436" spans="2:8">
      <c r="D436" s="2"/>
      <c r="F436" s="6"/>
      <c r="H436" s="6"/>
    </row>
    <row r="437" spans="2:8">
      <c r="D437" s="2"/>
      <c r="F437" s="6"/>
      <c r="H437" s="6"/>
    </row>
    <row r="438" spans="2:8">
      <c r="D438" s="2"/>
      <c r="F438" s="6"/>
      <c r="H438" s="6"/>
    </row>
    <row r="439" spans="2:8">
      <c r="B439" s="9"/>
      <c r="D439" s="2"/>
      <c r="F439" s="6"/>
      <c r="G439" s="4"/>
      <c r="H439" s="6"/>
    </row>
    <row r="440" spans="2:8">
      <c r="B440" s="9"/>
      <c r="E440" s="10"/>
      <c r="F440" s="6"/>
      <c r="G440" s="4"/>
      <c r="H440" s="6"/>
    </row>
    <row r="441" spans="2:8">
      <c r="B441" s="9"/>
      <c r="E441" s="10"/>
      <c r="F441" s="6"/>
      <c r="G441" s="4"/>
      <c r="H441" s="6"/>
    </row>
    <row r="442" spans="2:8">
      <c r="E442" s="10"/>
      <c r="F442" s="6"/>
      <c r="G442" s="4"/>
      <c r="H442" s="6"/>
    </row>
    <row r="443" spans="2:8">
      <c r="F443" s="6"/>
      <c r="H443" s="6"/>
    </row>
    <row r="445" spans="2:8">
      <c r="F445" s="6"/>
      <c r="H445" s="6"/>
    </row>
    <row r="446" spans="2:8">
      <c r="E446" s="10"/>
      <c r="F446" s="6"/>
      <c r="H446" s="6"/>
    </row>
    <row r="447" spans="2:8">
      <c r="E447" s="4"/>
      <c r="F447" s="6"/>
      <c r="H447" s="6"/>
    </row>
    <row r="448" spans="2:8">
      <c r="E448" s="4"/>
      <c r="F448" s="6"/>
      <c r="H448" s="6"/>
    </row>
    <row r="449" spans="4:8">
      <c r="E449" s="4"/>
      <c r="F449" s="6"/>
      <c r="H449" s="6"/>
    </row>
    <row r="450" spans="4:8">
      <c r="E450" s="4"/>
      <c r="F450" s="6"/>
      <c r="H450" s="6"/>
    </row>
    <row r="451" spans="4:8">
      <c r="E451" s="4"/>
      <c r="F451" s="6"/>
      <c r="H451" s="6"/>
    </row>
    <row r="452" spans="4:8">
      <c r="E452" s="4"/>
      <c r="F452" s="6"/>
      <c r="H452" s="6"/>
    </row>
    <row r="453" spans="4:8">
      <c r="E453" s="4"/>
      <c r="F453" s="6"/>
      <c r="H453" s="6"/>
    </row>
    <row r="454" spans="4:8">
      <c r="E454" s="4"/>
      <c r="F454" s="6"/>
      <c r="H454" s="6"/>
    </row>
    <row r="455" spans="4:8">
      <c r="E455" s="4"/>
      <c r="F455" s="6"/>
      <c r="H455" s="6"/>
    </row>
    <row r="456" spans="4:8">
      <c r="E456" s="4"/>
      <c r="F456" s="6"/>
      <c r="H456" s="6"/>
    </row>
    <row r="457" spans="4:8">
      <c r="E457" s="4"/>
      <c r="F457" s="6"/>
      <c r="H457" s="6"/>
    </row>
    <row r="458" spans="4:8">
      <c r="E458" s="4"/>
      <c r="F458" s="6"/>
      <c r="H458" s="6"/>
    </row>
    <row r="459" spans="4:8">
      <c r="E459" s="4"/>
      <c r="F459" s="6"/>
      <c r="H459" s="6"/>
    </row>
    <row r="460" spans="4:8">
      <c r="F460" s="6"/>
      <c r="H460" s="6"/>
    </row>
    <row r="461" spans="4:8">
      <c r="D461" s="2"/>
      <c r="F461" s="6"/>
      <c r="H461" s="6"/>
    </row>
    <row r="462" spans="4:8">
      <c r="D462" s="2"/>
      <c r="F462" s="6"/>
      <c r="H462" s="6"/>
    </row>
    <row r="463" spans="4:8">
      <c r="D463" s="2"/>
      <c r="H463" s="6"/>
    </row>
  </sheetData>
  <sheetProtection algorithmName="SHA-512" hashValue="hpdcdfe3UVgwfGAluNaXINgL6g9vRLZQgy8zYmK6WB7B6NDfBo7UuUaRDTQh0RbrACtkUG9qC+78UrvjJew1ng==" saltValue="Nqweqi99f5Ru0Mnr6ioFLA==" spinCount="100000" sheet="1" objects="1" scenarios="1"/>
  <mergeCells count="14">
    <mergeCell ref="F201:G201"/>
    <mergeCell ref="H201:I201"/>
    <mergeCell ref="F63:G63"/>
    <mergeCell ref="H63:I63"/>
    <mergeCell ref="F109:G109"/>
    <mergeCell ref="H109:I109"/>
    <mergeCell ref="F155:G155"/>
    <mergeCell ref="H155:I155"/>
    <mergeCell ref="A1:B1"/>
    <mergeCell ref="A2:B2"/>
    <mergeCell ref="F17:G17"/>
    <mergeCell ref="H17:I17"/>
    <mergeCell ref="F59:G59"/>
    <mergeCell ref="H59:I59"/>
  </mergeCells>
  <conditionalFormatting sqref="B15:F15 B61:F61 B107:E107 B153:E153 B199:E199">
    <cfRule type="cellIs" dxfId="21" priority="2" operator="equal">
      <formula>0</formula>
    </cfRule>
  </conditionalFormatting>
  <conditionalFormatting sqref="F15 F61 F107 F153 F199">
    <cfRule type="containsText" dxfId="20" priority="1" operator="containsText" text="Select Market">
      <formula>NOT(ISERROR(SEARCH("Select Market",F15)))</formula>
    </cfRule>
  </conditionalFormatting>
  <hyperlinks>
    <hyperlink ref="A1" location="'Wine Offer Template'!A1" display="Go back to template" xr:uid="{8D68EC70-4115-E649-9005-39418E9D3C32}"/>
    <hyperlink ref="A1:B1" location="Home!A1" display="Return Home" xr:uid="{09BC5EC7-423B-AC4A-AC4C-C3F9743FED0D}"/>
    <hyperlink ref="A2:B2" location="'Net Revenue'!A1" display="Go to Net Revenue" xr:uid="{980DF922-8CEE-524C-85F2-D57BEC89F866}"/>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884AF779FE574C89E62754B4999D9C" ma:contentTypeVersion="11" ma:contentTypeDescription="Create a new document." ma:contentTypeScope="" ma:versionID="0784813d3f60367c06b3f2d8bf5604be">
  <xsd:schema xmlns:xsd="http://www.w3.org/2001/XMLSchema" xmlns:xs="http://www.w3.org/2001/XMLSchema" xmlns:p="http://schemas.microsoft.com/office/2006/metadata/properties" xmlns:ns2="02256494-4976-4001-aedb-96463ae0d92e" xmlns:ns3="4e8dd08d-258d-47a9-9875-37f1ffd19f33" targetNamespace="http://schemas.microsoft.com/office/2006/metadata/properties" ma:root="true" ma:fieldsID="52836408462426c00f7fd4dced444820" ns2:_="" ns3:_="">
    <xsd:import namespace="02256494-4976-4001-aedb-96463ae0d92e"/>
    <xsd:import namespace="4e8dd08d-258d-47a9-9875-37f1ffd19f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56494-4976-4001-aedb-96463ae0d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34aa98b-8686-466b-b341-741970af6e1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8dd08d-258d-47a9-9875-37f1ffd19f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77f4afa-110a-48fe-9d82-44c5f47bdf43}" ma:internalName="TaxCatchAll" ma:showField="CatchAllData" ma:web="4e8dd08d-258d-47a9-9875-37f1ffd19f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2256494-4976-4001-aedb-96463ae0d92e">
      <Terms xmlns="http://schemas.microsoft.com/office/infopath/2007/PartnerControls"/>
    </lcf76f155ced4ddcb4097134ff3c332f>
    <TaxCatchAll xmlns="4e8dd08d-258d-47a9-9875-37f1ffd19f33" xsi:nil="true"/>
  </documentManagement>
</p:properties>
</file>

<file path=customXml/itemProps1.xml><?xml version="1.0" encoding="utf-8"?>
<ds:datastoreItem xmlns:ds="http://schemas.openxmlformats.org/officeDocument/2006/customXml" ds:itemID="{6A236F03-0871-4F58-977E-CFC7ED5760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256494-4976-4001-aedb-96463ae0d92e"/>
    <ds:schemaRef ds:uri="4e8dd08d-258d-47a9-9875-37f1ffd19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9F2406-19CF-4084-9779-B48373ED9EC3}">
  <ds:schemaRefs>
    <ds:schemaRef ds:uri="http://schemas.microsoft.com/sharepoint/v3/contenttype/forms"/>
  </ds:schemaRefs>
</ds:datastoreItem>
</file>

<file path=customXml/itemProps3.xml><?xml version="1.0" encoding="utf-8"?>
<ds:datastoreItem xmlns:ds="http://schemas.openxmlformats.org/officeDocument/2006/customXml" ds:itemID="{57A6966B-1D4B-4534-AA07-1A822E3C1018}">
  <ds:schemaRefs>
    <ds:schemaRef ds:uri="http://schemas.microsoft.com/office/2006/metadata/properties"/>
    <ds:schemaRef ds:uri="http://schemas.microsoft.com/office/infopath/2007/PartnerControls"/>
    <ds:schemaRef ds:uri="02256494-4976-4001-aedb-96463ae0d92e"/>
    <ds:schemaRef ds:uri="4e8dd08d-258d-47a9-9875-37f1ffd19f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12</vt:i4>
      </vt:variant>
    </vt:vector>
  </HeadingPairs>
  <TitlesOfParts>
    <vt:vector size="49" baseType="lpstr">
      <vt:lpstr>Home</vt:lpstr>
      <vt:lpstr>Reputation &amp; Awareness</vt:lpstr>
      <vt:lpstr>Shipment Cost Schedule</vt:lpstr>
      <vt:lpstr>Competitor Set Evaluation</vt:lpstr>
      <vt:lpstr>HKD XR data</vt:lpstr>
      <vt:lpstr>Sales Plan</vt:lpstr>
      <vt:lpstr>Net Revenue</vt:lpstr>
      <vt:lpstr>Risk Matrix</vt:lpstr>
      <vt:lpstr>FOB Price Detail</vt:lpstr>
      <vt:lpstr>Print Wine Offer</vt:lpstr>
      <vt:lpstr>1 GEN</vt:lpstr>
      <vt:lpstr>1 USA</vt:lpstr>
      <vt:lpstr>2 UK</vt:lpstr>
      <vt:lpstr>3 EU</vt:lpstr>
      <vt:lpstr>4 NZ</vt:lpstr>
      <vt:lpstr>5 China</vt:lpstr>
      <vt:lpstr>6 HK</vt:lpstr>
      <vt:lpstr>7 SING</vt:lpstr>
      <vt:lpstr>8 JAP</vt:lpstr>
      <vt:lpstr>9 SK</vt:lpstr>
      <vt:lpstr>10 TAI</vt:lpstr>
      <vt:lpstr>11 THAI</vt:lpstr>
      <vt:lpstr>12 VIET</vt:lpstr>
      <vt:lpstr>13 INDIA</vt:lpstr>
      <vt:lpstr>11 LCBO</vt:lpstr>
      <vt:lpstr>14 LCBO</vt:lpstr>
      <vt:lpstr>Reference (2)</vt:lpstr>
      <vt:lpstr>DUTY</vt:lpstr>
      <vt:lpstr>South Korea OLD</vt:lpstr>
      <vt:lpstr>Data</vt:lpstr>
      <vt:lpstr>FOB Data</vt:lpstr>
      <vt:lpstr>FOB Data 2</vt:lpstr>
      <vt:lpstr>12 SWE</vt:lpstr>
      <vt:lpstr>15 Nord</vt:lpstr>
      <vt:lpstr>Ex. Rate Calc</vt:lpstr>
      <vt:lpstr>Exchange Rate data</vt:lpstr>
      <vt:lpstr>EU rates</vt:lpstr>
      <vt:lpstr>'Exchange Rate data'!Exchange_rate_data</vt:lpstr>
      <vt:lpstr>'HKD XR data'!HDK_data</vt:lpstr>
      <vt:lpstr>'10 TAI'!Print_Area</vt:lpstr>
      <vt:lpstr>'11 LCBO'!Print_Area</vt:lpstr>
      <vt:lpstr>'11 THAI'!Print_Area</vt:lpstr>
      <vt:lpstr>'12 VIET'!Print_Area</vt:lpstr>
      <vt:lpstr>'14 LCBO'!Print_Area</vt:lpstr>
      <vt:lpstr>'5 China'!Print_Area</vt:lpstr>
      <vt:lpstr>'8 JAP'!Print_Area</vt:lpstr>
      <vt:lpstr>'9 SK'!Print_Area</vt:lpstr>
      <vt:lpstr>'Print Wine Offer'!Print_Area</vt:lpstr>
      <vt:lpstr>'South Korea OLD'!Print_Area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Sam Lambert</dc:creator>
  <cp:lastModifiedBy>Angelica Crabb</cp:lastModifiedBy>
  <cp:lastPrinted>2018-10-24T08:18:38Z</cp:lastPrinted>
  <dcterms:created xsi:type="dcterms:W3CDTF">2018-10-13T00:03:25Z</dcterms:created>
  <dcterms:modified xsi:type="dcterms:W3CDTF">2025-04-04T00:59:16Z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010021{"F":2,"I":"96BA-F935-1099-C712"}</vt:lpwstr>
  </property>
  <property fmtid="{D5CDD505-2E9C-101B-9397-08002B2CF9AE}" pid="3" name="ContentTypeId">
    <vt:lpwstr>0x01010011884AF779FE574C89E62754B4999D9C</vt:lpwstr>
  </property>
  <property fmtid="{D5CDD505-2E9C-101B-9397-08002B2CF9AE}" pid="4" name="Order">
    <vt:r8>100</vt:r8>
  </property>
  <property fmtid="{D5CDD505-2E9C-101B-9397-08002B2CF9AE}" pid="5" name="MediaServiceImageTags">
    <vt:lpwstr/>
  </property>
</Properties>
</file>